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B:\000_PROJEKTE\040_KFM_ SLP_Ausprägung_04_zu_03_Gas\100_Veröffentlichungen THE\"/>
    </mc:Choice>
  </mc:AlternateContent>
  <xr:revisionPtr revIDLastSave="0" documentId="8_{E3D755C1-CDCE-4F91-A6F0-776403AE6701}" xr6:coauthVersionLast="47" xr6:coauthVersionMax="47" xr10:uidLastSave="{00000000-0000-0000-0000-000000000000}"/>
  <bookViews>
    <workbookView xWindow="2868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11" i="17"/>
  <c r="D5" i="15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63" i="18" l="1"/>
  <c r="K63" i="18"/>
  <c r="G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F32" i="17" l="1"/>
  <c r="G32" i="17"/>
  <c r="H32" i="17"/>
  <c r="J32" i="17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D6" i="15" s="1"/>
  <c r="C7" i="1"/>
  <c r="J8" i="7"/>
  <c r="D8" i="7"/>
  <c r="D8" i="15"/>
  <c r="E5" i="17" l="1"/>
  <c r="E5" i="18"/>
  <c r="C4" i="1"/>
  <c r="C6" i="1"/>
  <c r="D5" i="7"/>
  <c r="D7" i="7"/>
  <c r="D7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13" i="7" l="1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H26" i="7"/>
  <c r="P26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26" i="7"/>
  <c r="L12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1" i="7"/>
  <c r="M8" i="4"/>
  <c r="M7" i="4"/>
  <c r="C5" i="1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  <c r="E3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<sst xmlns="http://schemas.openxmlformats.org/spreadsheetml/2006/main" count="1401" uniqueCount="684">
  <si>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</si>
  <si>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</si>
  <si>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</si>
  <si>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</si>
  <si>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</si>
  <si>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</si>
  <si>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</si>
  <si>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</si>
  <si>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</si>
  <si>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</si>
  <si>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</si>
  <si>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</si>
  <si>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</si>
  <si>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</si>
  <si>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</si>
  <si>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</si>
  <si>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</si>
  <si>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</si>
  <si>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</si>
  <si>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</si>
  <si>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</si>
  <si>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</si>
  <si>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</si>
  <si>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</si>
  <si>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</si>
  <si>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</si>
  <si>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</si>
  <si>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</si>
  <si>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</si>
  <si>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</si>
  <si>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</si>
  <si>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</si>
  <si>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</si>
  <si>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</si>
  <si>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</si>
  <si>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</si>
  <si>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</si>
  <si>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</si>
  <si>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</si>
  <si>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</si>
  <si>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</si>
  <si>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</si>
  <si>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</si>
  <si>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</si>
  <si>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</si>
  <si>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</si>
  <si>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</si>
  <si>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</si>
  <si>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</si>
  <si>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</si>
  <si>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</si>
  <si>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</si>
  <si>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</si>
  <si>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</si>
  <si>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</si>
  <si>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</si>
  <si>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</si>
  <si>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</si>
  <si>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</si>
  <si>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</si>
  <si>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</si>
  <si>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</si>
  <si>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</si>
  <si>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</si>
  <si>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</si>
  <si>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</si>
  <si>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</si>
  <si>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</si>
  <si>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</si>
  <si>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</si>
  <si>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</si>
  <si>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</si>
  <si>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</si>
  <si>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</si>
  <si>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</si>
  <si>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</si>
  <si>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</si>
  <si>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</si>
  <si>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</si>
  <si>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</si>
  <si>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</si>
  <si>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</si>
  <si>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</si>
  <si>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</si>
  <si>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</si>
  <si>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</si>
  <si>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</si>
  <si>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</si>
  <si>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</si>
  <si>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</si>
  <si>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</si>
  <si>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</si>
  <si>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</si>
  <si>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</si>
  <si>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</si>
  <si>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</si>
  <si>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</si>
  <si>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</si>
  <si>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</si>
  <si>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</si>
  <si>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</si>
  <si>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</si>
  <si>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</si>
  <si>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</si>
  <si>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</si>
  <si>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</si>
  <si>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</si>
  <si>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</si>
  <si>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</si>
  <si>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</si>
  <si>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</si>
  <si>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</si>
  <si>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</si>
  <si>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</si>
  <si>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</si>
  <si>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</si>
  <si>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</si>
  <si>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</si>
  <si>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</si>
  <si>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</si>
  <si>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</si>
  <si>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</si>
  <si>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</si>
  <si>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</si>
  <si>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</si>
  <si>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</si>
  <si>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</si>
  <si>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</si>
  <si>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</si>
  <si>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</si>
  <si>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</si>
  <si>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</si>
  <si>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</si>
  <si>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</si>
  <si>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</si>
  <si>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</si>
  <si>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</si>
  <si>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</si>
  <si>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</si>
  <si>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</si>
  <si>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</si>
  <si>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</si>
  <si>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</si>
  <si>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</si>
  <si>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</si>
  <si>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</si>
  <si>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</si>
  <si>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</si>
  <si>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</si>
  <si>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</si>
  <si>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</si>
  <si>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</si>
  <si>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</si>
  <si>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</si>
  <si>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</si>
  <si>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</si>
  <si>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</si>
  <si>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</si>
  <si>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</si>
  <si>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</si>
  <si>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</si>
  <si>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</si>
  <si>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</si>
  <si>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</si>
  <si>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</si>
  <si>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</si>
  <si>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</si>
  <si>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</si>
  <si>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</si>
  <si>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</si>
  <si>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</si>
  <si>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</si>
  <si>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</si>
  <si>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</si>
  <si>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</si>
  <si>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</si>
  <si>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</si>
  <si>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</si>
  <si>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</si>
  <si>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</si>
  <si>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</si>
  <si>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</si>
  <si>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</si>
  <si>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</si>
  <si>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</si>
  <si>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</si>
  <si>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</si>
  <si>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</si>
  <si>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</si>
  <si>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</si>
  <si>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</si>
  <si>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</si>
  <si>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</si>
  <si>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</si>
  <si>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</si>
  <si>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</si>
  <si>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</si>
  <si>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</si>
  <si>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</si>
  <si>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</si>
  <si>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</si>
  <si>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</si>
  <si>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</si>
  <si>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</si>
  <si>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</si>
  <si>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</si>
  <si>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</si>
  <si>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</si>
  <si>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</si>
  <si>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</si>
  <si>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</si>
  <si>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</si>
  <si>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</si>
  <si>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</si>
  <si>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</si>
  <si>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</si>
  <si>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</si>
  <si>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</si>
  <si>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</si>
  <si>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</si>
  <si>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</si>
  <si>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</si>
  <si>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</si>
  <si>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</si>
  <si>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</si>
  <si>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</si>
  <si>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</si>
  <si>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</si>
  <si>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</si>
  <si>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</si>
  <si>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</si>
  <si>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</si>
  <si>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</si>
  <si>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</si>
  <si>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</si>
  <si>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</si>
  <si>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</si>
  <si>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</si>
  <si>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</si>
  <si>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</si>
  <si>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</si>
  <si>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</si>
  <si>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</si>
  <si>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</si>
  <si>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</si>
  <si>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</si>
  <si>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</si>
  <si>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</si>
  <si>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</si>
  <si>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</si>
  <si>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</si>
  <si>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</si>
  <si>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</si>
  <si>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</si>
  <si>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</si>
  <si>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</si>
  <si>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</si>
  <si>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</si>
  <si>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</si>
  <si>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</si>
  <si>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</si>
  <si>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</si>
  <si>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</si>
  <si>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</si>
  <si>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</si>
  <si>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</si>
  <si>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</si>
  <si>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</si>
  <si>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</si>
  <si>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</si>
  <si>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</si>
  <si>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</si>
  <si>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</si>
  <si>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</si>
  <si>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</si>
  <si>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</si>
  <si>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</si>
  <si>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</si>
  <si>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</si>
  <si>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</si>
  <si>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</si>
  <si>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</si>
  <si>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</si>
  <si>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</si>
  <si>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</si>
  <si>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</si>
  <si>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</si>
  <si>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</si>
  <si>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</si>
  <si>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</si>
  <si>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</si>
  <si>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</si>
  <si>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</si>
  <si>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</si>
  <si>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</si>
  <si>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</si>
  <si>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</si>
  <si>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</si>
  <si>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</si>
  <si>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</si>
  <si>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</si>
  <si>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</si>
  <si>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</si>
  <si>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</si>
  <si>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</si>
  <si>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</si>
  <si>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</si>
  <si>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</si>
  <si>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</si>
  <si>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</si>
  <si>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</si>
  <si>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</si>
  <si>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</si>
  <si>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</si>
  <si>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</si>
  <si>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</si>
  <si>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</si>
  <si>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</si>
  <si>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</si>
  <si>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</si>
  <si>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</si>
  <si>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</si>
  <si>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</si>
  <si>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</si>
  <si>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</si>
  <si>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</si>
  <si>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</si>
  <si>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</si>
  <si>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</si>
  <si>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</si>
  <si>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</si>
  <si>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</si>
  <si>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</si>
  <si>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</si>
  <si>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</si>
  <si>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</si>
  <si>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</si>
  <si>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</si>
  <si>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</si>
  <si>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</si>
  <si>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</si>
  <si>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</si>
  <si>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</si>
  <si>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</si>
  <si>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</si>
  <si>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</si>
  <si>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</si>
  <si>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</si>
  <si>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</si>
  <si>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</si>
  <si>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</si>
  <si>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</si>
  <si>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</si>
  <si>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</si>
  <si>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</si>
  <si>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</si>
  <si>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</si>
  <si>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</si>
  <si>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</si>
  <si>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</si>
  <si>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</si>
  <si>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</si>
  <si>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</si>
  <si>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</si>
  <si>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</si>
  <si>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</si>
  <si>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</si>
  <si>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</si>
  <si>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</si>
  <si>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</si>
  <si>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</si>
  <si>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</si>
  <si>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</si>
  <si>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</si>
  <si>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</si>
  <si>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</si>
  <si>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</si>
  <si>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</si>
  <si>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</si>
  <si>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</si>
  <si>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</si>
  <si>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</si>
  <si>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</si>
  <si>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</si>
  <si>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</si>
  <si>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</si>
  <si>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</si>
  <si>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</si>
  <si>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</si>
  <si>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</si>
  <si>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</si>
  <si>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</si>
  <si>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</si>
  <si>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</si>
  <si>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</si>
  <si>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</si>
  <si>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</si>
  <si>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</si>
  <si>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</si>
  <si>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</si>
  <si>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</si>
  <si>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</si>
  <si>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</si>
  <si>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</si>
  <si>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</si>
  <si>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</si>
  <si>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</si>
  <si>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</si>
  <si>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</si>
  <si>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</si>
  <si>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</si>
  <si>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</si>
  <si>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</si>
  <si>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</si>
  <si>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</si>
  <si>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</si>
  <si>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</si>
  <si>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</si>
  <si>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</si>
  <si>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</si>
  <si>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</si>
  <si>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</si>
  <si>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</si>
  <si>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</si>
  <si>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</si>
  <si>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</si>
  <si>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</si>
  <si>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</si>
  <si>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</si>
  <si>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</si>
  <si>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</si>
  <si>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</si>
  <si>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</si>
  <si>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</si>
  <si>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</si>
  <si>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</si>
  <si>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</si>
  <si>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</si>
  <si>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</si>
  <si>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</si>
  <si>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</si>
  <si>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</si>
  <si>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</si>
  <si>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</si>
  <si>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</si>
  <si>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</si>
  <si>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</si>
  <si>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</si>
  <si>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</si>
  <si>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</si>
  <si>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</si>
  <si>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</si>
  <si>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</si>
  <si>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</si>
  <si>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</si>
  <si>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</si>
  <si>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</si>
  <si>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</si>
  <si>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</si>
  <si>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</si>
  <si>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</si>
  <si>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</si>
  <si>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</si>
  <si>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</si>
  <si>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</si>
  <si>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</si>
  <si>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</si>
  <si>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</si>
  <si>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</si>
  <si>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</si>
  <si>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</si>
  <si>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</si>
  <si>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</si>
  <si>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</si>
  <si>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</si>
  <si>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</si>
  <si>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</si>
  <si>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</si>
  <si>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</si>
  <si>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</si>
  <si>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</si>
  <si>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</si>
  <si>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</si>
  <si>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</si>
  <si>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</si>
  <si>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</si>
  <si>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</si>
  <si>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</si>
  <si>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</si>
  <si>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</si>
  <si>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</si>
  <si>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</si>
  <si>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</si>
  <si>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</si>
  <si>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</si>
  <si>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</si>
  <si>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</si>
  <si>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</si>
  <si>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</si>
  <si>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</si>
  <si>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</si>
  <si>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</si>
  <si>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</si>
  <si>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</si>
  <si>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</si>
  <si>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</si>
  <si>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</si>
  <si>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</si>
  <si>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</si>
  <si>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</si>
  <si>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</si>
  <si>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</si>
  <si>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</si>
  <si>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</si>
  <si>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</si>
  <si>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</si>
  <si>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</si>
  <si>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</si>
  <si>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</si>
  <si>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</si>
  <si>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</si>
  <si>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</si>
  <si>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</si>
  <si>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</si>
  <si>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</si>
  <si>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</si>
  <si>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</si>
  <si>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</si>
  <si>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</si>
  <si>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</si>
  <si>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</si>
  <si>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</si>
  <si>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</si>
  <si>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</si>
  <si>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</si>
  <si>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</si>
  <si>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</si>
  <si>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</si>
  <si>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</si>
  <si>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</si>
  <si>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</si>
  <si>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</si>
  <si>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</si>
  <si>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</si>
  <si>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</si>
  <si>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</si>
  <si>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</si>
  <si>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</si>
  <si>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</si>
  <si>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</si>
  <si>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</si>
  <si>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</si>
  <si>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</si>
  <si>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</si>
  <si>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</si>
  <si>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</si>
  <si>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</si>
  <si>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</si>
  <si>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</si>
  <si>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</si>
  <si>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</si>
  <si>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</si>
  <si>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</si>
  <si>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</si>
  <si>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</si>
  <si>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</si>
  <si>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</si>
  <si>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</si>
  <si>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</si>
  <si>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</si>
  <si>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</si>
  <si>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</si>
  <si>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</si>
  <si>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</si>
  <si>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</si>
  <si>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</si>
  <si>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</si>
  <si>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</si>
  <si>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</si>
  <si>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</si>
  <si>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</si>
  <si>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</si>
  <si>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</si>
  <si>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</si>
  <si>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</si>
  <si>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</si>
  <si>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</si>
  <si>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</si>
  <si>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</si>
  <si>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</si>
  <si>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</si>
  <si>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</si>
  <si>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</si>
  <si>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</si>
  <si>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</si>
  <si>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</si>
  <si>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</si>
  <si>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</si>
  <si>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</si>
  <si>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</si>
  <si>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</si>
  <si>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</si>
  <si>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</si>
  <si>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</si>
  <si>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</si>
  <si>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</si>
  <si>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</si>
  <si>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</si>
  <si>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</si>
  <si>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</si>
  <si>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</si>
  <si>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</si>
  <si>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</si>
  <si>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</si>
  <si>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</si>
  <si>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</si>
  <si>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</si>
  <si>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</si>
  <si>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</si>
  <si>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</si>
  <si>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</si>
  <si>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</si>
  <si>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</si>
  <si>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</si>
  <si>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</si>
  <si>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</si>
  <si>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</si>
  <si>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</si>
  <si>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</si>
  <si>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</si>
  <si>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</si>
  <si>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</si>
  <si>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</si>
  <si>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</si>
  <si>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</si>
  <si>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</si>
  <si>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</si>
  <si>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</si>
  <si>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</si>
  <si>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</si>
  <si>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</si>
  <si>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</si>
  <si>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</si>
  <si>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</si>
  <si>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</si>
  <si>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</si>
  <si>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</si>
  <si>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</si>
  <si>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</si>
  <si>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</si>
  <si>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</si>
  <si>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Netzkontonummer:</t>
  </si>
  <si>
    <t>Bezeichnung Gasprognosetemperatur</t>
  </si>
  <si>
    <t>Individuelle GPT</t>
  </si>
  <si>
    <t>Allgemeine GPT</t>
  </si>
  <si>
    <t>THE0NKH700379000</t>
  </si>
  <si>
    <t>Stadtwerke Steinfurt GmbH</t>
  </si>
  <si>
    <t>9870037900007</t>
  </si>
  <si>
    <t>Wiemelfeldstr. 48</t>
  </si>
  <si>
    <t>D-48565</t>
  </si>
  <si>
    <t>Steinfurt</t>
  </si>
  <si>
    <t>Frau Karen Biernath</t>
  </si>
  <si>
    <t>karen.biernath@swst.de</t>
  </si>
  <si>
    <t>02552-707-515</t>
  </si>
  <si>
    <t>Temperatur Station 10315</t>
  </si>
  <si>
    <t>Die Veröffentlichung erfolgt im Rahmen der Vorgaben der Kooperationsvereinbarung und des Leitfadens "Abwicklung von Standardlastprofilen Gas".</t>
  </si>
  <si>
    <t xml:space="preserve">Münster/Osnabrück </t>
  </si>
  <si>
    <t>Meteomedia Group</t>
  </si>
  <si>
    <t>2.0</t>
  </si>
  <si>
    <t>Netzgebiet SW Steinfurt THE H</t>
  </si>
  <si>
    <t>DE_HEF03</t>
  </si>
  <si>
    <t>DE_HMF03</t>
  </si>
  <si>
    <t>DE_GMK03</t>
  </si>
  <si>
    <t>DE_GPD03</t>
  </si>
  <si>
    <t>DE_GHA03</t>
  </si>
  <si>
    <t>DE_GBD03</t>
  </si>
  <si>
    <t>DE_GKO03</t>
  </si>
  <si>
    <t>DE_GBH03</t>
  </si>
  <si>
    <t>DE_GGA03</t>
  </si>
  <si>
    <t>DE_GBA03</t>
  </si>
  <si>
    <t>DE_GWA03</t>
  </si>
  <si>
    <t>DE_GGB03</t>
  </si>
  <si>
    <t>DE_GMF03</t>
  </si>
  <si>
    <t>DE_GHD03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</si>
</sst>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95" fontId="0" fillId="70" borderId="17" xfId="0" applyNumberFormat="1" applyFill="1" applyBorder="1" applyAlignment="1">
      <alignment horizontal="center" vertical="center"/>
    </xf>
    <xf numFmtId="195" fontId="0" fillId="70" borderId="17" xfId="0" applyNumberFormat="1" applyFill="1" applyBorder="1" applyAlignment="1" applyProtection="1">
      <alignment horizontal="center" vertical="center"/>
      <protection locked="0"/>
    </xf>
    <xf numFmtId="0" fontId="6" fillId="33" borderId="13" xfId="0" applyFont="1" applyFill="1" applyBorder="1" applyAlignment="1" applyProtection="1">
      <alignment horizontal="right"/>
      <protection locked="0"/>
    </xf>
    <xf numFmtId="0" fontId="6" fillId="33" borderId="20" xfId="0" applyFont="1" applyFill="1" applyBorder="1" applyProtection="1"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en.biernath@swst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H31" sqref="H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665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6" t="s">
        <v>668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E9" sqref="E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499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500</v>
      </c>
      <c r="D6" s="17">
        <v>45292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656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481</v>
      </c>
      <c r="D11" s="287" t="s">
        <v>657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 t="s">
        <v>659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455</v>
      </c>
      <c r="D27" s="29" t="s">
        <v>392</v>
      </c>
      <c r="E27" s="27"/>
    </row>
    <row r="28" spans="2:15">
      <c r="C28" s="47" t="s">
        <v>498</v>
      </c>
      <c r="D28" s="33" t="str">
        <f>IF(D27&lt;&gt;C28,VLOOKUP(D27,$C$29:$D$48,2,FALSE),C28)</f>
        <v>Netzgebiet SW Steinfurt THE H</v>
      </c>
      <c r="E28" s="26"/>
    </row>
    <row r="29" spans="2:15">
      <c r="C29" s="16" t="s">
        <v>392</v>
      </c>
      <c r="D29" s="32" t="s">
        <v>669</v>
      </c>
      <c r="E29" s="28"/>
    </row>
    <row r="30" spans="2:15">
      <c r="C30" s="16" t="s">
        <v>393</v>
      </c>
      <c r="D30" s="32"/>
      <c r="E30" s="28"/>
    </row>
    <row r="31" spans="2:15">
      <c r="C31" s="16" t="s">
        <v>418</v>
      </c>
      <c r="D31" s="32"/>
      <c r="E31" s="28"/>
    </row>
    <row r="32" spans="2:15">
      <c r="C32" s="16" t="s">
        <v>419</v>
      </c>
      <c r="D32" s="32"/>
      <c r="E32" s="28"/>
    </row>
    <row r="33" spans="3:5">
      <c r="C33" s="16" t="s">
        <v>420</v>
      </c>
      <c r="D33" s="32"/>
      <c r="E33" s="28"/>
    </row>
    <row r="34" spans="3:5">
      <c r="C34" s="16" t="s">
        <v>421</v>
      </c>
      <c r="D34" s="32"/>
      <c r="E34" s="28"/>
    </row>
    <row r="35" spans="3:5">
      <c r="C35" s="16" t="s">
        <v>422</v>
      </c>
      <c r="D35" s="32"/>
      <c r="E35" s="28"/>
    </row>
    <row r="36" spans="3:5">
      <c r="C36" s="16" t="s">
        <v>423</v>
      </c>
      <c r="D36" s="32"/>
      <c r="E36" s="28"/>
    </row>
    <row r="37" spans="3:5">
      <c r="C37" s="16" t="s">
        <v>424</v>
      </c>
      <c r="D37" s="32"/>
      <c r="E37" s="28"/>
    </row>
    <row r="38" spans="3:5">
      <c r="C38" s="16" t="s">
        <v>427</v>
      </c>
      <c r="D38" s="32"/>
      <c r="E38" s="28"/>
    </row>
    <row r="39" spans="3:5">
      <c r="C39" s="16" t="s">
        <v>428</v>
      </c>
      <c r="D39" s="32"/>
      <c r="E39" s="28"/>
    </row>
    <row r="40" spans="3:5">
      <c r="C40" s="16" t="s">
        <v>429</v>
      </c>
      <c r="D40" s="32"/>
      <c r="E40" s="28"/>
    </row>
    <row r="41" spans="3:5">
      <c r="C41" s="16" t="s">
        <v>430</v>
      </c>
      <c r="D41" s="32"/>
      <c r="E41" s="28"/>
    </row>
    <row r="42" spans="3:5">
      <c r="C42" s="16" t="s">
        <v>431</v>
      </c>
      <c r="D42" s="32"/>
      <c r="E42" s="28"/>
    </row>
    <row r="43" spans="3:5">
      <c r="C43" s="16" t="s">
        <v>432</v>
      </c>
      <c r="D43" s="32"/>
      <c r="E43" s="28"/>
    </row>
    <row r="44" spans="3:5">
      <c r="C44" s="16" t="s">
        <v>433</v>
      </c>
      <c r="D44" s="32"/>
      <c r="E44" s="28"/>
    </row>
    <row r="45" spans="3:5">
      <c r="C45" s="16" t="s">
        <v>434</v>
      </c>
      <c r="D45" s="32"/>
      <c r="E45" s="28"/>
    </row>
    <row r="46" spans="3:5">
      <c r="C46" s="16" t="s">
        <v>435</v>
      </c>
      <c r="D46" s="32"/>
      <c r="E46" s="28"/>
    </row>
    <row r="47" spans="3:5">
      <c r="C47" s="16" t="s">
        <v>436</v>
      </c>
      <c r="D47" s="32"/>
      <c r="E47" s="28"/>
    </row>
    <row r="48" spans="3:5">
      <c r="C48" s="16" t="s">
        <v>437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B585AAD4-F59D-4B83-9873-989AE92C8CF6}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33" sqref="E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441</v>
      </c>
      <c r="D5" s="42" t="str">
        <f>Netzbetreiber!$D$9</f>
        <v>Stadtwerke Steinfurt GmbH</v>
      </c>
      <c r="H5" s="49"/>
      <c r="I5" s="49"/>
      <c r="J5" s="49"/>
      <c r="K5" s="49"/>
    </row>
    <row r="6" spans="2:15" ht="15" customHeight="1">
      <c r="B6" s="16"/>
      <c r="C6" s="45" t="s">
        <v>440</v>
      </c>
      <c r="D6" s="42" t="str">
        <f>Netzbetreiber!D28</f>
        <v>Netzgebiet SW Steinfurt THE H</v>
      </c>
      <c r="H6" s="49"/>
      <c r="I6" s="49"/>
      <c r="J6" s="49"/>
      <c r="K6" s="49"/>
    </row>
    <row r="7" spans="2:15" ht="15" customHeight="1">
      <c r="B7" s="16"/>
      <c r="C7" s="40" t="s">
        <v>484</v>
      </c>
      <c r="D7" s="44" t="str">
        <f>Netzbetreiber!$D$11</f>
        <v>9870037900007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45292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614</v>
      </c>
      <c r="D11" s="21" t="s">
        <v>615</v>
      </c>
      <c r="H11" s="229" t="s">
        <v>615</v>
      </c>
      <c r="I11" s="229" t="s">
        <v>616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651</v>
      </c>
      <c r="D13" s="29" t="s">
        <v>655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365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574</v>
      </c>
      <c r="I16" s="228" t="s">
        <v>485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612</v>
      </c>
      <c r="D19" s="34" t="s">
        <v>608</v>
      </c>
      <c r="H19" s="225" t="s">
        <v>608</v>
      </c>
      <c r="I19" s="225" t="s">
        <v>609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610</v>
      </c>
      <c r="H20" s="225" t="s">
        <v>611</v>
      </c>
      <c r="I20" t="s">
        <v>607</v>
      </c>
      <c r="J20"/>
      <c r="K20"/>
      <c r="L20" s="226"/>
    </row>
    <row r="21" spans="2:16" ht="15" customHeight="1">
      <c r="B21" s="16"/>
      <c r="C21" s="2" t="s">
        <v>613</v>
      </c>
      <c r="D21" s="2" t="str">
        <f>IF(D19=$H$19,L21,IF(D20=$H$21,M21,N21))</f>
        <v>=&gt;  Q(D) = KW  x  h(T, SLP-Typ)  x  F(WT)</v>
      </c>
      <c r="H21" s="225" t="s">
        <v>610</v>
      </c>
      <c r="I21" s="225" t="s">
        <v>617</v>
      </c>
      <c r="J21"/>
      <c r="K21"/>
      <c r="L21" s="228" t="s">
        <v>618</v>
      </c>
      <c r="M21" s="228" t="s">
        <v>620</v>
      </c>
      <c r="N21" s="228" t="s">
        <v>619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577</v>
      </c>
      <c r="D23" s="29" t="s">
        <v>134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621</v>
      </c>
      <c r="D24" s="29" t="s">
        <v>622</v>
      </c>
      <c r="H24" s="257" t="s">
        <v>622</v>
      </c>
      <c r="I24" s="227" t="s">
        <v>623</v>
      </c>
      <c r="J24" s="227" t="s">
        <v>624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625</v>
      </c>
      <c r="I25" s="228" t="s">
        <v>626</v>
      </c>
      <c r="J25" s="228" t="s">
        <v>627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628</v>
      </c>
      <c r="I26" s="228" t="s">
        <v>629</v>
      </c>
      <c r="J26" s="228" t="s">
        <v>630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367</v>
      </c>
      <c r="C28" s="4" t="s">
        <v>576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631</v>
      </c>
      <c r="I29" s="228" t="s">
        <v>632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633</v>
      </c>
      <c r="I30" s="225" t="s">
        <v>628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490</v>
      </c>
      <c r="C32" s="2" t="s">
        <v>492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548</v>
      </c>
      <c r="C34" s="3" t="s">
        <v>362</v>
      </c>
      <c r="D34" s="22">
        <v>1500000</v>
      </c>
      <c r="E34" t="s">
        <v>505</v>
      </c>
      <c r="I34" s="225"/>
      <c r="J34" s="225"/>
      <c r="K34" s="225"/>
      <c r="L34" s="225"/>
      <c r="M34" s="226"/>
    </row>
    <row r="35" spans="2:22" ht="15" customHeight="1">
      <c r="C35" t="s">
        <v>488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549</v>
      </c>
      <c r="C37" s="3" t="s">
        <v>363</v>
      </c>
      <c r="D37" s="24">
        <v>500</v>
      </c>
      <c r="E37" t="s">
        <v>540</v>
      </c>
      <c r="H37" s="49"/>
      <c r="I37" s="49"/>
      <c r="J37" s="49"/>
      <c r="K37" s="49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40" t="s">
        <v>575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585</v>
      </c>
      <c r="D45" s="32" t="s">
        <v>664</v>
      </c>
    </row>
    <row r="46" spans="2:22" ht="18" customHeight="1">
      <c r="C46" s="16" t="s">
        <v>586</v>
      </c>
      <c r="D46" s="32"/>
    </row>
    <row r="47" spans="2:22" ht="18" customHeight="1">
      <c r="C47" s="16" t="s">
        <v>587</v>
      </c>
      <c r="D47" s="32"/>
    </row>
    <row r="48" spans="2:22" ht="18" customHeight="1">
      <c r="C48" s="16" t="s">
        <v>588</v>
      </c>
      <c r="D48" s="32"/>
    </row>
    <row r="49" spans="3:4" ht="18" customHeight="1">
      <c r="C49" s="16" t="s">
        <v>589</v>
      </c>
      <c r="D49" s="32"/>
    </row>
    <row r="50" spans="3:4" ht="18" customHeight="1">
      <c r="C50" s="16" t="s">
        <v>590</v>
      </c>
      <c r="D50" s="32"/>
    </row>
    <row r="51" spans="3:4" ht="18" customHeight="1">
      <c r="C51" s="16" t="s">
        <v>591</v>
      </c>
      <c r="D51" s="32"/>
    </row>
    <row r="52" spans="3:4" ht="18" customHeight="1">
      <c r="C52" s="16" t="s">
        <v>592</v>
      </c>
      <c r="D52" s="32"/>
    </row>
    <row r="53" spans="3:4" ht="18" customHeight="1">
      <c r="C53" s="16" t="s">
        <v>593</v>
      </c>
      <c r="D53" s="32"/>
    </row>
    <row r="54" spans="3:4" ht="18" customHeight="1">
      <c r="C54" s="16" t="s">
        <v>594</v>
      </c>
      <c r="D54" s="32"/>
    </row>
    <row r="55" spans="3:4" ht="18" customHeight="1">
      <c r="C55" s="16" t="s">
        <v>595</v>
      </c>
      <c r="D55" s="32"/>
    </row>
    <row r="56" spans="3:4" ht="18" customHeight="1">
      <c r="C56" s="16" t="s">
        <v>596</v>
      </c>
      <c r="D56" s="32"/>
    </row>
    <row r="57" spans="3:4" ht="18" customHeight="1">
      <c r="C57" s="16" t="s">
        <v>597</v>
      </c>
      <c r="D57" s="32"/>
    </row>
    <row r="58" spans="3:4" ht="18" customHeight="1">
      <c r="C58" s="16" t="s">
        <v>598</v>
      </c>
      <c r="D58" s="32"/>
    </row>
    <row r="59" spans="3:4" ht="18" customHeight="1">
      <c r="C59" s="16" t="s">
        <v>599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7" zoomScaleNormal="100" workbookViewId="0">
      <selection activeCell="E63" sqref="E6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2:56" ht="75" customHeight="1"/>
    <row r="2" spans="2:56" ht="23.25">
      <c r="B2" s="6" t="s">
        <v>543</v>
      </c>
    </row>
    <row r="3" spans="2:56" ht="15" customHeight="1">
      <c r="B3" s="6"/>
    </row>
    <row r="4" spans="2:56">
      <c r="C4" s="40" t="s">
        <v>441</v>
      </c>
      <c r="D4" s="41"/>
      <c r="E4" s="42" t="s">
        <v>656</v>
      </c>
    </row>
    <row r="5" spans="2:56">
      <c r="C5" s="40" t="s">
        <v>440</v>
      </c>
      <c r="D5" s="41"/>
      <c r="E5" s="42" t="str">
        <f>Netzbetreiber!D28</f>
        <v>Netzgebiet SW Steinfurt THE H</v>
      </c>
    </row>
    <row r="6" spans="2:56">
      <c r="C6" s="40" t="s">
        <v>484</v>
      </c>
      <c r="D6" s="41"/>
      <c r="E6" s="44" t="s">
        <v>657</v>
      </c>
    </row>
    <row r="7" spans="2:56">
      <c r="C7" s="40" t="s">
        <v>133</v>
      </c>
      <c r="D7" s="41"/>
      <c r="E7" s="35">
        <v>44470</v>
      </c>
    </row>
    <row r="8" spans="2:56">
      <c r="H8" s="68" t="s">
        <v>494</v>
      </c>
    </row>
    <row r="9" spans="2:56">
      <c r="C9" s="40" t="s">
        <v>521</v>
      </c>
      <c r="F9" s="129">
        <f>'SLP-Verfahren'!D43</f>
        <v>1</v>
      </c>
      <c r="H9" s="143" t="s">
        <v>600</v>
      </c>
    </row>
    <row r="10" spans="2:56">
      <c r="C10" s="40" t="s">
        <v>584</v>
      </c>
      <c r="F10" s="249">
        <v>1</v>
      </c>
      <c r="G10" s="41"/>
      <c r="H10" s="143" t="s">
        <v>601</v>
      </c>
    </row>
    <row r="11" spans="2:56">
      <c r="C11" s="40" t="s">
        <v>602</v>
      </c>
      <c r="F11" s="247" t="str">
        <f>INDEX('SLP-Verfahren'!D45:D59,'SLP-Temp-Gebiet #01'!F10)</f>
        <v>Temperatur Station 10315</v>
      </c>
      <c r="G11" s="250"/>
      <c r="H11" s="68"/>
    </row>
    <row r="12" spans="2:56"/>
    <row r="13" spans="2:56" ht="18" customHeight="1">
      <c r="C13" s="292" t="s">
        <v>583</v>
      </c>
      <c r="D13" s="292"/>
      <c r="E13" s="292"/>
      <c r="F13" s="16" t="s">
        <v>547</v>
      </c>
      <c r="G13" t="s">
        <v>545</v>
      </c>
      <c r="H13" s="219" t="s">
        <v>562</v>
      </c>
      <c r="I13" s="41"/>
    </row>
    <row r="14" spans="2:56" ht="19.5" customHeight="1">
      <c r="C14" s="293" t="s">
        <v>444</v>
      </c>
      <c r="D14" s="293"/>
      <c r="E14" s="5" t="s">
        <v>445</v>
      </c>
      <c r="F14" s="290" t="s">
        <v>85</v>
      </c>
      <c r="G14" s="29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2:56" ht="19.5" customHeight="1">
      <c r="C15" s="293" t="s">
        <v>384</v>
      </c>
      <c r="D15" s="293"/>
      <c r="E15" s="5" t="s">
        <v>445</v>
      </c>
      <c r="F15" s="290" t="s">
        <v>71</v>
      </c>
      <c r="G15" s="291" t="s">
        <v>566</v>
      </c>
      <c r="H15" s="36">
        <v>0</v>
      </c>
      <c r="I15" s="41"/>
      <c r="O15" s="135" t="s">
        <v>667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367</v>
      </c>
      <c r="AH15" s="218" t="s">
        <v>490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2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516</v>
      </c>
      <c r="D17" s="145"/>
      <c r="R17" s="171"/>
      <c r="S17" s="171"/>
    </row>
    <row r="18" spans="2:21">
      <c r="C18" s="40" t="s">
        <v>522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517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524</v>
      </c>
      <c r="D21" s="128" t="s">
        <v>514</v>
      </c>
      <c r="E21" s="242">
        <v>1</v>
      </c>
      <c r="F21" s="288"/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536</v>
      </c>
      <c r="D22" s="153">
        <f>SUMPRODUCT(E22:N22,E19:N19)</f>
        <v>1</v>
      </c>
      <c r="E22" s="243">
        <v>1</v>
      </c>
      <c r="F22" s="289"/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501</v>
      </c>
      <c r="F23" s="133"/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501</v>
      </c>
      <c r="T23" s="248" t="str">
        <f>O15</f>
        <v>Meteomedia Group</v>
      </c>
    </row>
    <row r="24" spans="2:21">
      <c r="B24" s="16"/>
      <c r="C24" s="151" t="s">
        <v>519</v>
      </c>
      <c r="D24" s="154"/>
      <c r="E24" s="131" t="s">
        <v>666</v>
      </c>
      <c r="F24" s="133"/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1">
      <c r="B25" s="16"/>
      <c r="C25" s="151" t="s">
        <v>513</v>
      </c>
      <c r="D25" s="154"/>
      <c r="E25" s="131">
        <v>10315</v>
      </c>
      <c r="F25" s="133"/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502</v>
      </c>
      <c r="F26" s="133"/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142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502</v>
      </c>
      <c r="S27" s="49" t="s">
        <v>503</v>
      </c>
    </row>
    <row r="28" spans="2:21">
      <c r="B28" s="16"/>
      <c r="C28" s="155"/>
      <c r="Q28" s="172"/>
    </row>
    <row r="29" spans="2:21">
      <c r="C29" s="40" t="s">
        <v>518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525</v>
      </c>
      <c r="D32" s="153" t="s">
        <v>255</v>
      </c>
      <c r="E32" s="240">
        <f>1-SUMPRODUCT(F30:N30,F32:N32)</f>
        <v>0.5333</v>
      </c>
      <c r="F32" s="240">
        <f>ROUND(F33/$D$33,4)</f>
        <v>0.26669999999999999</v>
      </c>
      <c r="G32" s="240">
        <f t="shared" ref="G32:N32" si="3">ROUND(G33/$D$33,4)</f>
        <v>0.1333</v>
      </c>
      <c r="H32" s="240">
        <f t="shared" si="3"/>
        <v>6.6699999999999995E-2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532</v>
      </c>
      <c r="D33" s="242">
        <f>SUMPRODUCT(E33:N33,E30:N30)</f>
        <v>1.875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>
      <c r="B35" s="16"/>
      <c r="C35" s="151" t="s">
        <v>447</v>
      </c>
      <c r="D35" s="128" t="s">
        <v>446</v>
      </c>
      <c r="E35" s="131" t="s">
        <v>510</v>
      </c>
      <c r="F35" s="131" t="s">
        <v>510</v>
      </c>
      <c r="G35" s="131" t="s">
        <v>510</v>
      </c>
      <c r="H35" s="131" t="s">
        <v>510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510</v>
      </c>
      <c r="S35" s="49" t="s">
        <v>511</v>
      </c>
    </row>
    <row r="36" spans="2:28">
      <c r="B36" s="16"/>
      <c r="C36" s="151" t="s">
        <v>604</v>
      </c>
      <c r="D36" s="128" t="s">
        <v>605</v>
      </c>
      <c r="E36" s="131" t="s">
        <v>603</v>
      </c>
      <c r="F36" s="131" t="s">
        <v>603</v>
      </c>
      <c r="G36" s="131" t="s">
        <v>603</v>
      </c>
      <c r="H36" s="131" t="s">
        <v>603</v>
      </c>
      <c r="I36" s="131" t="s">
        <v>603</v>
      </c>
      <c r="J36" s="131" t="s">
        <v>603</v>
      </c>
      <c r="K36" s="131" t="s">
        <v>603</v>
      </c>
      <c r="L36" s="131" t="s">
        <v>603</v>
      </c>
      <c r="M36" s="131" t="s">
        <v>603</v>
      </c>
      <c r="N36" s="131" t="s">
        <v>603</v>
      </c>
      <c r="O36" s="152" t="s">
        <v>142</v>
      </c>
      <c r="Q36" s="172"/>
      <c r="R36" s="49" t="s">
        <v>603</v>
      </c>
      <c r="S36" s="49" t="s">
        <v>606</v>
      </c>
      <c r="T36" s="41"/>
    </row>
    <row r="37" spans="2:28">
      <c r="B37" s="16"/>
      <c r="C37" s="154" t="s">
        <v>439</v>
      </c>
      <c r="D37" s="98" t="s">
        <v>537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449</v>
      </c>
      <c r="S37" s="49" t="s">
        <v>448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346</v>
      </c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523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529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535</v>
      </c>
      <c r="D47" s="164" t="s">
        <v>533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359</v>
      </c>
      <c r="K47" s="161"/>
      <c r="L47" s="161"/>
      <c r="M47" s="161"/>
      <c r="N47" s="161"/>
      <c r="O47" s="162"/>
    </row>
    <row r="48" spans="2:28">
      <c r="C48" s="163" t="s">
        <v>345</v>
      </c>
      <c r="D48" s="164" t="s">
        <v>533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359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578</v>
      </c>
    </row>
    <row r="52" spans="2:15">
      <c r="I52" s="1"/>
    </row>
    <row r="53" spans="2:15">
      <c r="C53" s="40" t="s">
        <v>542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517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524</v>
      </c>
      <c r="D56" s="128" t="s">
        <v>514</v>
      </c>
      <c r="E56" s="240">
        <f>1-SUMPRODUCT(F54:N54,F56:N56)</f>
        <v>1</v>
      </c>
      <c r="F56" s="240">
        <f>ROUND(F57/$D$57,4)</f>
        <v>0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536</v>
      </c>
      <c r="D57" s="153">
        <f>SUMPRODUCT(E57:N57,E54:N54)</f>
        <v>1</v>
      </c>
      <c r="E57" s="241">
        <f>E22</f>
        <v>1</v>
      </c>
      <c r="F57" s="241">
        <f t="shared" ref="F57:N57" si="6">F22</f>
        <v>0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">
        <v>501</v>
      </c>
      <c r="F58" s="131" t="s">
        <v>501</v>
      </c>
      <c r="G58" s="131" t="str">
        <f t="shared" ref="G58:N58" si="7">G23</f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519</v>
      </c>
      <c r="D59" s="154"/>
      <c r="E59" s="131" t="str">
        <f>E24</f>
        <v xml:space="preserve">Münster/Osnabrück </v>
      </c>
      <c r="F59" s="131">
        <f t="shared" ref="F59:N59" si="8">F24</f>
        <v>0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520</v>
      </c>
    </row>
    <row r="60" spans="2:15">
      <c r="B60" s="16"/>
      <c r="C60" s="151" t="s">
        <v>513</v>
      </c>
      <c r="D60" s="154"/>
      <c r="E60" s="131">
        <f>E25</f>
        <v>10315</v>
      </c>
      <c r="F60" s="131">
        <f t="shared" ref="F60:N60" si="9">F25</f>
        <v>0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Temp. (2m)</v>
      </c>
      <c r="F61" s="133">
        <f t="shared" ref="F61:N61" si="10">F26</f>
        <v>0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518</v>
      </c>
      <c r="F63" s="132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525</v>
      </c>
      <c r="D66" s="153" t="s">
        <v>255</v>
      </c>
      <c r="E66" s="240">
        <f>1-SUMPRODUCT(F64:N64,F66:N66)</f>
        <v>0.5333</v>
      </c>
      <c r="F66" s="240">
        <f>ROUND(F67/$D$67,4)</f>
        <v>0.26669999999999999</v>
      </c>
      <c r="G66" s="240">
        <f t="shared" ref="G66:N66" si="12">ROUND(G67/$D$67,4)</f>
        <v>0.1333</v>
      </c>
      <c r="H66" s="240">
        <f t="shared" si="12"/>
        <v>6.6699999999999995E-2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532</v>
      </c>
      <c r="D67" s="153">
        <f>SUMPRODUCT(E67:N67,E64:N64)</f>
        <v>1.875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358</v>
      </c>
      <c r="D68" s="128" t="s">
        <v>357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447</v>
      </c>
      <c r="D69" s="128" t="s">
        <v>446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604</v>
      </c>
      <c r="D70" s="128" t="s">
        <v>605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439</v>
      </c>
      <c r="D71" s="98" t="s">
        <v>537</v>
      </c>
      <c r="E71" s="137" t="s">
        <v>449</v>
      </c>
      <c r="F71" s="137" t="s">
        <v>449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4" t="s">
        <v>579</v>
      </c>
      <c r="D73" s="294"/>
      <c r="E73" s="294"/>
      <c r="F73" s="294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57 E22 I22:N22 F53 F63 G24:N24 G71:N71 E33:N35 E70:N70 E59:N60 G58:N58 G25:N25" unlockedFormula="1"/>
    <ignoredError sqref="E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40" t="s">
        <v>441</v>
      </c>
      <c r="D4" s="41"/>
      <c r="E4" s="42" t="s">
        <v>483</v>
      </c>
    </row>
    <row r="5" spans="1:56">
      <c r="C5" s="40" t="s">
        <v>440</v>
      </c>
      <c r="D5" s="41"/>
      <c r="E5" s="42" t="str">
        <f>Netzbetreiber!D28</f>
        <v>Netzgebiet SW Steinfurt THE H</v>
      </c>
    </row>
    <row r="6" spans="1:56">
      <c r="C6" s="40" t="s">
        <v>484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494</v>
      </c>
    </row>
    <row r="9" spans="1:56">
      <c r="C9" s="40" t="s">
        <v>521</v>
      </c>
      <c r="F9" s="129">
        <f>'SLP-Verfahren'!D43</f>
        <v>1</v>
      </c>
      <c r="H9" s="143" t="s">
        <v>600</v>
      </c>
    </row>
    <row r="10" spans="1:56">
      <c r="C10" s="40" t="s">
        <v>584</v>
      </c>
      <c r="F10" s="249">
        <v>2</v>
      </c>
      <c r="G10" s="41"/>
      <c r="H10" s="143" t="s">
        <v>601</v>
      </c>
    </row>
    <row r="11" spans="1:56">
      <c r="C11" s="40" t="s">
        <v>602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92" t="s">
        <v>583</v>
      </c>
      <c r="D13" s="292"/>
      <c r="E13" s="292"/>
      <c r="F13" s="16" t="s">
        <v>547</v>
      </c>
      <c r="G13" t="s">
        <v>545</v>
      </c>
      <c r="H13" s="219" t="s">
        <v>562</v>
      </c>
      <c r="I13" s="41"/>
    </row>
    <row r="14" spans="1:56" ht="19.5" customHeight="1">
      <c r="C14" s="293" t="s">
        <v>444</v>
      </c>
      <c r="D14" s="293"/>
      <c r="E14" s="5" t="s">
        <v>445</v>
      </c>
      <c r="F14" s="220" t="s">
        <v>85</v>
      </c>
      <c r="G14" s="221" t="s">
        <v>571</v>
      </c>
      <c r="H14" s="36">
        <v>0</v>
      </c>
      <c r="I14" s="41"/>
      <c r="O14" s="144" t="s">
        <v>526</v>
      </c>
      <c r="R14" s="49" t="s">
        <v>563</v>
      </c>
      <c r="S14" s="49" t="s">
        <v>564</v>
      </c>
      <c r="T14" s="49" t="s">
        <v>565</v>
      </c>
      <c r="U14" s="49" t="s">
        <v>566</v>
      </c>
      <c r="V14" s="49" t="s">
        <v>546</v>
      </c>
      <c r="W14" s="49" t="s">
        <v>567</v>
      </c>
      <c r="X14" s="49" t="s">
        <v>568</v>
      </c>
      <c r="Y14" s="49" t="s">
        <v>569</v>
      </c>
      <c r="Z14" s="49" t="s">
        <v>570</v>
      </c>
      <c r="AA14" s="49" t="s">
        <v>571</v>
      </c>
      <c r="AB14" s="49" t="s">
        <v>572</v>
      </c>
      <c r="AC14" s="49" t="s">
        <v>573</v>
      </c>
    </row>
    <row r="15" spans="1:56" ht="19.5" customHeight="1">
      <c r="C15" s="293" t="s">
        <v>384</v>
      </c>
      <c r="D15" s="293"/>
      <c r="E15" s="5" t="s">
        <v>445</v>
      </c>
      <c r="F15" s="220" t="s">
        <v>71</v>
      </c>
      <c r="G15" s="221" t="s">
        <v>565</v>
      </c>
      <c r="H15" s="36">
        <v>0</v>
      </c>
      <c r="I15" s="41"/>
      <c r="O15" s="135" t="s">
        <v>527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367</v>
      </c>
      <c r="AH15" s="218" t="s">
        <v>490</v>
      </c>
      <c r="AI15" s="218" t="s">
        <v>548</v>
      </c>
      <c r="AJ15" s="218" t="s">
        <v>549</v>
      </c>
      <c r="AK15" s="218" t="s">
        <v>550</v>
      </c>
      <c r="AL15" s="218" t="s">
        <v>551</v>
      </c>
      <c r="AM15" s="218" t="s">
        <v>552</v>
      </c>
      <c r="AN15" s="218" t="s">
        <v>553</v>
      </c>
      <c r="AO15" s="218" t="s">
        <v>554</v>
      </c>
      <c r="AP15" s="218" t="s">
        <v>555</v>
      </c>
      <c r="AQ15" s="218" t="s">
        <v>556</v>
      </c>
      <c r="AR15" s="218" t="s">
        <v>557</v>
      </c>
      <c r="AS15" s="218" t="s">
        <v>558</v>
      </c>
      <c r="AT15" s="218" t="s">
        <v>559</v>
      </c>
      <c r="AU15" s="218" t="s">
        <v>560</v>
      </c>
      <c r="AV15" s="218" t="s">
        <v>561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516</v>
      </c>
      <c r="D17" s="145"/>
      <c r="R17" s="171"/>
      <c r="S17" s="171"/>
    </row>
    <row r="18" spans="2:20">
      <c r="C18" s="40" t="s">
        <v>522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517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524</v>
      </c>
      <c r="D21" s="128" t="s">
        <v>514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536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501</v>
      </c>
      <c r="T23" s="248" t="str">
        <f>O15</f>
        <v>Wetterdienstleister ABC</v>
      </c>
    </row>
    <row r="24" spans="2:20">
      <c r="B24" s="16"/>
      <c r="C24" s="151" t="s">
        <v>519</v>
      </c>
      <c r="D24" s="154"/>
      <c r="E24" s="131" t="s">
        <v>580</v>
      </c>
      <c r="F24" s="131" t="s">
        <v>581</v>
      </c>
      <c r="G24" s="131"/>
      <c r="H24" s="131"/>
      <c r="I24" s="131"/>
      <c r="J24" s="131"/>
      <c r="K24" s="131"/>
      <c r="L24" s="131"/>
      <c r="M24" s="131"/>
      <c r="N24" s="131"/>
      <c r="O24" s="152" t="s">
        <v>520</v>
      </c>
      <c r="Q24" s="172"/>
    </row>
    <row r="25" spans="2:20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502</v>
      </c>
      <c r="S26" s="49" t="s">
        <v>503</v>
      </c>
    </row>
    <row r="27" spans="2:20">
      <c r="B27" s="16"/>
      <c r="C27" s="155"/>
      <c r="Q27" s="172"/>
    </row>
    <row r="28" spans="2:20">
      <c r="C28" s="40" t="s">
        <v>518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525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532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510</v>
      </c>
      <c r="S34" s="49" t="s">
        <v>511</v>
      </c>
    </row>
    <row r="35" spans="2:28">
      <c r="B35" s="16"/>
      <c r="C35" s="151" t="s">
        <v>604</v>
      </c>
      <c r="D35" s="128" t="s">
        <v>605</v>
      </c>
      <c r="E35" s="131" t="s">
        <v>603</v>
      </c>
      <c r="F35" s="131" t="s">
        <v>603</v>
      </c>
      <c r="G35" s="131" t="s">
        <v>603</v>
      </c>
      <c r="H35" s="131" t="s">
        <v>603</v>
      </c>
      <c r="I35" s="131" t="s">
        <v>603</v>
      </c>
      <c r="J35" s="131" t="s">
        <v>603</v>
      </c>
      <c r="K35" s="131" t="s">
        <v>603</v>
      </c>
      <c r="L35" s="131" t="s">
        <v>603</v>
      </c>
      <c r="M35" s="131" t="s">
        <v>603</v>
      </c>
      <c r="N35" s="131" t="s">
        <v>603</v>
      </c>
      <c r="O35" s="152" t="s">
        <v>142</v>
      </c>
      <c r="Q35" s="172"/>
      <c r="R35" s="49" t="s">
        <v>603</v>
      </c>
      <c r="S35" s="49" t="s">
        <v>606</v>
      </c>
      <c r="T35" s="41"/>
    </row>
    <row r="36" spans="2:28">
      <c r="B36" s="16"/>
      <c r="C36" s="154" t="s">
        <v>439</v>
      </c>
      <c r="D36" s="98" t="s">
        <v>537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449</v>
      </c>
      <c r="S36" s="49" t="s">
        <v>448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346</v>
      </c>
      <c r="D39" s="161"/>
      <c r="E39" s="161" t="s">
        <v>530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523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528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534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535</v>
      </c>
      <c r="D46" s="164" t="s">
        <v>533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359</v>
      </c>
      <c r="K46" s="161"/>
      <c r="L46" s="161"/>
      <c r="M46" s="161"/>
      <c r="N46" s="161"/>
      <c r="O46" s="162"/>
    </row>
    <row r="47" spans="2:28">
      <c r="C47" s="163" t="s">
        <v>345</v>
      </c>
      <c r="D47" s="164" t="s">
        <v>533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359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578</v>
      </c>
    </row>
    <row r="51" spans="2:15">
      <c r="I51" s="1"/>
    </row>
    <row r="52" spans="2:15">
      <c r="C52" s="40" t="s">
        <v>542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517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524</v>
      </c>
      <c r="D55" s="128" t="s">
        <v>514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536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519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520</v>
      </c>
    </row>
    <row r="59" spans="2:1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518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525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532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604</v>
      </c>
      <c r="D69" s="128" t="s">
        <v>605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439</v>
      </c>
      <c r="D70" s="98" t="s">
        <v>537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4" t="s">
        <v>579</v>
      </c>
      <c r="D72" s="294"/>
      <c r="E72" s="294"/>
      <c r="F72" s="29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B1" zoomScale="80" zoomScaleNormal="80" workbookViewId="0">
      <selection activeCell="H33" sqref="H33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361</v>
      </c>
    </row>
    <row r="3" spans="2:26">
      <c r="B3" t="s">
        <v>462</v>
      </c>
    </row>
    <row r="4" spans="2:26"/>
    <row r="5" spans="2:26">
      <c r="C5" s="38" t="s">
        <v>366</v>
      </c>
      <c r="D5" s="39" t="str">
        <f>Netzbetreiber!$D$9</f>
        <v>Stadtwerke Steinfurt GmbH</v>
      </c>
      <c r="H5" s="68" t="s">
        <v>494</v>
      </c>
      <c r="I5" s="8" t="s">
        <v>497</v>
      </c>
    </row>
    <row r="6" spans="2:26">
      <c r="C6" s="38" t="s">
        <v>334</v>
      </c>
      <c r="D6" s="39" t="str">
        <f>Netzbetreiber!$D$28</f>
        <v>Netzgebiet SW Steinfurt THE H</v>
      </c>
      <c r="I6" s="8" t="s">
        <v>507</v>
      </c>
    </row>
    <row r="7" spans="2:26">
      <c r="C7" s="38" t="s">
        <v>484</v>
      </c>
      <c r="D7" s="39" t="str">
        <f>Netzbetreiber!$D$11</f>
        <v>9870037900007</v>
      </c>
    </row>
    <row r="8" spans="2:26">
      <c r="C8" s="38" t="s">
        <v>133</v>
      </c>
      <c r="D8" s="37">
        <f>Netzbetreiber!$D$6</f>
        <v>45292</v>
      </c>
      <c r="H8" t="s">
        <v>492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491</v>
      </c>
      <c r="D10" s="109" t="s">
        <v>147</v>
      </c>
      <c r="E10" s="230" t="s">
        <v>509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634</v>
      </c>
      <c r="M10" s="125" t="s">
        <v>643</v>
      </c>
      <c r="N10" s="126" t="s">
        <v>644</v>
      </c>
      <c r="O10" s="126" t="s">
        <v>645</v>
      </c>
      <c r="P10" s="127" t="s">
        <v>646</v>
      </c>
      <c r="Q10" s="121" t="s">
        <v>635</v>
      </c>
      <c r="R10" s="111" t="s">
        <v>636</v>
      </c>
      <c r="S10" s="112" t="s">
        <v>637</v>
      </c>
      <c r="T10" s="112" t="s">
        <v>638</v>
      </c>
      <c r="U10" s="112" t="s">
        <v>639</v>
      </c>
      <c r="V10" s="112" t="s">
        <v>640</v>
      </c>
      <c r="W10" s="112" t="s">
        <v>641</v>
      </c>
      <c r="X10" s="113" t="s">
        <v>642</v>
      </c>
      <c r="Y10" s="254" t="s">
        <v>647</v>
      </c>
    </row>
    <row r="11" spans="2:26" ht="15.75" thickBot="1">
      <c r="B11" s="114" t="s">
        <v>493</v>
      </c>
      <c r="C11" s="115" t="s">
        <v>508</v>
      </c>
      <c r="D11" s="253" t="s">
        <v>248</v>
      </c>
      <c r="E11" s="138" t="s">
        <v>515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Netzgebiet SW Steinfurt THE H</v>
      </c>
      <c r="D12" s="46" t="s">
        <v>248</v>
      </c>
      <c r="E12" s="139" t="s">
        <v>670</v>
      </c>
      <c r="F12" s="256" t="s">
        <v>285</v>
      </c>
      <c r="H12" s="231">
        <v>3.0553842454</v>
      </c>
      <c r="I12" s="231">
        <v>-37.183637422300002</v>
      </c>
      <c r="J12" s="231">
        <v>5.6810824598999998</v>
      </c>
      <c r="K12" s="231">
        <v>8.2196627600000002E-2</v>
      </c>
      <c r="L12" s="232">
        <f>ROUND(VLOOKUP($E12,'BDEW-Standard'!$B$3:$M$94,L$9,0),1)</f>
        <v>40</v>
      </c>
      <c r="M12" s="231">
        <f>ROUND(VLOOKUP($E12,'BDEW-Standard'!$B$3:$M$94,M$9,0),7)</f>
        <v>0</v>
      </c>
      <c r="N12" s="231">
        <f>ROUND(VLOOKUP($E12,'BDEW-Standard'!$B$3:$M$94,N$9,0),7)</f>
        <v>0</v>
      </c>
      <c r="O12" s="231">
        <f>ROUND(VLOOKUP($E12,'BDEW-Standard'!$B$3:$M$94,O$9,0),7)</f>
        <v>0</v>
      </c>
      <c r="P12" s="231">
        <f>ROUND(VLOOKUP($E12,'BDEW-Standard'!$B$3:$M$94,P$9,0),7)</f>
        <v>0</v>
      </c>
      <c r="Q12" s="233">
        <f t="shared" ref="Q12:Q26" si="1">($H12/(1+($I12/($Q$9-$L12))^$J12)+$K12)+MAX($M12*$Q$9+$N12,$O12*$Q$9+$P12)</f>
        <v>0.99521027200343459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Netzgebiet SW Steinfurt THE H</v>
      </c>
      <c r="D13" s="46" t="s">
        <v>248</v>
      </c>
      <c r="E13" s="139" t="s">
        <v>671</v>
      </c>
      <c r="F13" s="256" t="s">
        <v>293</v>
      </c>
      <c r="H13" s="231">
        <v>2.3987552319000001</v>
      </c>
      <c r="I13" s="231">
        <v>-34.723487774500001</v>
      </c>
      <c r="J13" s="231">
        <v>5.7996446390000003</v>
      </c>
      <c r="K13" s="231">
        <v>0.1016748069</v>
      </c>
      <c r="L13" s="232">
        <f>ROUND(VLOOKUP($E13,'BDEW-Standard'!$B$3:$M$94,L$9,0),1)</f>
        <v>40</v>
      </c>
      <c r="M13" s="231">
        <f>ROUND(VLOOKUP($E13,'BDEW-Standard'!$B$3:$M$94,M$9,0),7)</f>
        <v>0</v>
      </c>
      <c r="N13" s="231">
        <f>ROUND(VLOOKUP($E13,'BDEW-Standard'!$B$3:$M$94,N$9,0),7)</f>
        <v>0</v>
      </c>
      <c r="O13" s="231">
        <f>ROUND(VLOOKUP($E13,'BDEW-Standard'!$B$3:$M$94,O$9,0),7)</f>
        <v>0</v>
      </c>
      <c r="P13" s="231">
        <f>ROUND(VLOOKUP($E13,'BDEW-Standard'!$B$3:$M$94,P$9,0),7)</f>
        <v>0</v>
      </c>
      <c r="Q13" s="233">
        <f t="shared" si="1"/>
        <v>1.022165315911695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:X26" si="2"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Netzgebiet SW Steinfurt THE H</v>
      </c>
      <c r="D14" s="46" t="s">
        <v>248</v>
      </c>
      <c r="E14" s="139" t="s">
        <v>4</v>
      </c>
      <c r="F14" s="256" t="str">
        <f>VLOOKUP($E14,'BDEW-Standard'!$B$3:$M$94,F$9,0)</f>
        <v>HK3</v>
      </c>
      <c r="H14" s="231">
        <f>ROUND(VLOOKUP($E14,'BDEW-Standard'!$B$3:$M$94,H$9,0),7)</f>
        <v>0.40409319999999999</v>
      </c>
      <c r="I14" s="231">
        <f>ROUND(VLOOKUP($E14,'BDEW-Standard'!$B$3:$M$94,I$9,0),7)</f>
        <v>-24.439296800000001</v>
      </c>
      <c r="J14" s="231">
        <f>ROUND(VLOOKUP($E14,'BDEW-Standard'!$B$3:$M$94,J$9,0),7)</f>
        <v>6.5718174999999999</v>
      </c>
      <c r="K14" s="231">
        <f>ROUND(VLOOKUP($E14,'BDEW-Standard'!$B$3:$M$94,K$9,0),7)</f>
        <v>0.71077100000000004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si="1"/>
        <v>1.0561214000512988</v>
      </c>
      <c r="R14" s="234">
        <f>ROUND(VLOOKUP(MID($E14,4,3),'Wochentag F(WT)'!$B$7:$J$22,R$9,0),4)</f>
        <v>1</v>
      </c>
      <c r="S14" s="234">
        <f>ROUND(VLOOKUP(MID($E14,4,3),'Wochentag F(WT)'!$B$7:$J$22,S$9,0),4)</f>
        <v>1</v>
      </c>
      <c r="T14" s="234">
        <f>ROUND(VLOOKUP(MID($E14,4,3),'Wochentag F(WT)'!$B$7:$J$22,T$9,0),4)</f>
        <v>1</v>
      </c>
      <c r="U14" s="234">
        <f>ROUND(VLOOKUP(MID($E14,4,3),'Wochentag F(WT)'!$B$7:$J$22,U$9,0),4)</f>
        <v>1</v>
      </c>
      <c r="V14" s="234">
        <f>ROUND(VLOOKUP(MID($E14,4,3),'Wochentag F(WT)'!$B$7:$J$22,V$9,0),4)</f>
        <v>1</v>
      </c>
      <c r="W14" s="234">
        <f>ROUND(VLOOKUP(MID($E14,4,3),'Wochentag F(WT)'!$B$7:$J$22,W$9,0),4)</f>
        <v>1</v>
      </c>
      <c r="X14" s="235">
        <f t="shared" si="2"/>
        <v>1</v>
      </c>
      <c r="Y14" s="252"/>
      <c r="Z14" s="173"/>
    </row>
    <row r="15" spans="2:26" s="118" customFormat="1">
      <c r="B15" s="119">
        <v>4</v>
      </c>
      <c r="C15" s="120" t="str">
        <f t="shared" si="0"/>
        <v>Netzgebiet SW Steinfurt THE H</v>
      </c>
      <c r="D15" s="46" t="s">
        <v>248</v>
      </c>
      <c r="E15" s="139" t="s">
        <v>672</v>
      </c>
      <c r="F15" s="256" t="str">
        <f>VLOOKUP($E15,'BDEW-Standard'!$B$3:$M$94,F$9,0)</f>
        <v>MK3</v>
      </c>
      <c r="H15" s="231">
        <f>ROUND(VLOOKUP($E15,'BDEW-Standard'!$B$3:$M$94,H$9,0),7)</f>
        <v>2.7882424000000001</v>
      </c>
      <c r="I15" s="231">
        <f>ROUND(VLOOKUP($E15,'BDEW-Standard'!$B$3:$M$94,I$9,0),7)</f>
        <v>-34.880612999999997</v>
      </c>
      <c r="J15" s="231">
        <f>ROUND(VLOOKUP($E15,'BDEW-Standard'!$B$3:$M$94,J$9,0),7)</f>
        <v>6.5951899000000003</v>
      </c>
      <c r="K15" s="231">
        <f>ROUND(VLOOKUP($E15,'BDEW-Standard'!$B$3:$M$94,K$9,0),7)</f>
        <v>5.4032900000000002E-2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1.0622306107520199</v>
      </c>
      <c r="R15" s="234">
        <f>ROUND(VLOOKUP(MID($E15,4,3),'Wochentag F(WT)'!$B$7:$J$22,R$9,0),4)</f>
        <v>1.0699000000000001</v>
      </c>
      <c r="S15" s="234">
        <f>ROUND(VLOOKUP(MID($E15,4,3),'Wochentag F(WT)'!$B$7:$J$22,S$9,0),4)</f>
        <v>1.0365</v>
      </c>
      <c r="T15" s="234">
        <f>ROUND(VLOOKUP(MID($E15,4,3),'Wochentag F(WT)'!$B$7:$J$22,T$9,0),4)</f>
        <v>0.99329999999999996</v>
      </c>
      <c r="U15" s="234">
        <f>ROUND(VLOOKUP(MID($E15,4,3),'Wochentag F(WT)'!$B$7:$J$22,U$9,0),4)</f>
        <v>0.99480000000000002</v>
      </c>
      <c r="V15" s="234">
        <f>ROUND(VLOOKUP(MID($E15,4,3),'Wochentag F(WT)'!$B$7:$J$22,V$9,0),4)</f>
        <v>1.0659000000000001</v>
      </c>
      <c r="W15" s="234">
        <f>ROUND(VLOOKUP(MID($E15,4,3),'Wochentag F(WT)'!$B$7:$J$22,W$9,0),4)</f>
        <v>0.93620000000000003</v>
      </c>
      <c r="X15" s="235">
        <f t="shared" si="2"/>
        <v>0.90339999999999954</v>
      </c>
      <c r="Y15" s="252"/>
      <c r="Z15" s="173"/>
    </row>
    <row r="16" spans="2:26" s="118" customFormat="1">
      <c r="B16" s="119">
        <v>5</v>
      </c>
      <c r="C16" s="120" t="str">
        <f t="shared" si="0"/>
        <v>Netzgebiet SW Steinfurt THE H</v>
      </c>
      <c r="D16" s="46" t="s">
        <v>248</v>
      </c>
      <c r="E16" s="139" t="s">
        <v>673</v>
      </c>
      <c r="F16" s="256" t="str">
        <f>VLOOKUP($E16,'BDEW-Standard'!$B$3:$M$94,F$9,0)</f>
        <v>PD3</v>
      </c>
      <c r="H16" s="231">
        <f>ROUND(VLOOKUP($E16,'BDEW-Standard'!$B$3:$M$94,H$9,0),7)</f>
        <v>3.2</v>
      </c>
      <c r="I16" s="231">
        <f>ROUND(VLOOKUP($E16,'BDEW-Standard'!$B$3:$M$94,I$9,0),7)</f>
        <v>-35.799999999999997</v>
      </c>
      <c r="J16" s="231">
        <f>ROUND(VLOOKUP($E16,'BDEW-Standard'!$B$3:$M$94,J$9,0),7)</f>
        <v>8.4</v>
      </c>
      <c r="K16" s="231">
        <f>ROUND(VLOOKUP($E16,'BDEW-Standard'!$B$3:$M$94,K$9,0),7)</f>
        <v>9.3848600000000004E-2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0.99106250024889242</v>
      </c>
      <c r="R16" s="234">
        <f>ROUND(VLOOKUP(MID($E16,4,3),'Wochentag F(WT)'!$B$7:$J$22,R$9,0),4)</f>
        <v>1.0214000000000001</v>
      </c>
      <c r="S16" s="234">
        <f>ROUND(VLOOKUP(MID($E16,4,3),'Wochentag F(WT)'!$B$7:$J$22,S$9,0),4)</f>
        <v>1.0866</v>
      </c>
      <c r="T16" s="234">
        <f>ROUND(VLOOKUP(MID($E16,4,3),'Wochentag F(WT)'!$B$7:$J$22,T$9,0),4)</f>
        <v>1.0720000000000001</v>
      </c>
      <c r="U16" s="234">
        <f>ROUND(VLOOKUP(MID($E16,4,3),'Wochentag F(WT)'!$B$7:$J$22,U$9,0),4)</f>
        <v>1.0557000000000001</v>
      </c>
      <c r="V16" s="234">
        <f>ROUND(VLOOKUP(MID($E16,4,3),'Wochentag F(WT)'!$B$7:$J$22,V$9,0),4)</f>
        <v>1.0117</v>
      </c>
      <c r="W16" s="234">
        <f>ROUND(VLOOKUP(MID($E16,4,3),'Wochentag F(WT)'!$B$7:$J$22,W$9,0),4)</f>
        <v>0.90010000000000001</v>
      </c>
      <c r="X16" s="235">
        <f t="shared" si="2"/>
        <v>0.85249999999999915</v>
      </c>
      <c r="Y16" s="252"/>
      <c r="Z16" s="173"/>
    </row>
    <row r="17" spans="2:26" s="118" customFormat="1">
      <c r="B17" s="119">
        <v>6</v>
      </c>
      <c r="C17" s="120" t="str">
        <f t="shared" si="0"/>
        <v>Netzgebiet SW Steinfurt THE H</v>
      </c>
      <c r="D17" s="46" t="s">
        <v>248</v>
      </c>
      <c r="E17" s="139" t="s">
        <v>674</v>
      </c>
      <c r="F17" s="256" t="str">
        <f>VLOOKUP($E17,'BDEW-Standard'!$B$3:$M$94,F$9,0)</f>
        <v>HA3</v>
      </c>
      <c r="H17" s="231">
        <f>ROUND(VLOOKUP($E17,'BDEW-Standard'!$B$3:$M$94,H$9,0),7)</f>
        <v>3.5811213999999998</v>
      </c>
      <c r="I17" s="231">
        <f>ROUND(VLOOKUP($E17,'BDEW-Standard'!$B$3:$M$94,I$9,0),7)</f>
        <v>-36.965006500000001</v>
      </c>
      <c r="J17" s="231">
        <f>ROUND(VLOOKUP($E17,'BDEW-Standard'!$B$3:$M$94,J$9,0),7)</f>
        <v>7.2256947</v>
      </c>
      <c r="K17" s="231">
        <f>ROUND(VLOOKUP($E17,'BDEW-Standard'!$B$3:$M$94,K$9,0),7)</f>
        <v>4.4841600000000002E-2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0.97852945357176691</v>
      </c>
      <c r="R17" s="234">
        <f>ROUND(VLOOKUP(MID($E17,4,3),'Wochentag F(WT)'!$B$7:$J$22,R$9,0),4)</f>
        <v>1.0358000000000001</v>
      </c>
      <c r="S17" s="234">
        <f>ROUND(VLOOKUP(MID($E17,4,3),'Wochentag F(WT)'!$B$7:$J$22,S$9,0),4)</f>
        <v>1.0232000000000001</v>
      </c>
      <c r="T17" s="234">
        <f>ROUND(VLOOKUP(MID($E17,4,3),'Wochentag F(WT)'!$B$7:$J$22,T$9,0),4)</f>
        <v>1.0251999999999999</v>
      </c>
      <c r="U17" s="234">
        <f>ROUND(VLOOKUP(MID($E17,4,3),'Wochentag F(WT)'!$B$7:$J$22,U$9,0),4)</f>
        <v>1.0295000000000001</v>
      </c>
      <c r="V17" s="234">
        <f>ROUND(VLOOKUP(MID($E17,4,3),'Wochentag F(WT)'!$B$7:$J$22,V$9,0),4)</f>
        <v>1.0253000000000001</v>
      </c>
      <c r="W17" s="234">
        <f>ROUND(VLOOKUP(MID($E17,4,3),'Wochentag F(WT)'!$B$7:$J$22,W$9,0),4)</f>
        <v>0.96750000000000003</v>
      </c>
      <c r="X17" s="235">
        <f t="shared" si="2"/>
        <v>0.89350000000000041</v>
      </c>
      <c r="Y17" s="252"/>
      <c r="Z17" s="173"/>
    </row>
    <row r="18" spans="2:26" s="118" customFormat="1">
      <c r="B18" s="119">
        <v>7</v>
      </c>
      <c r="C18" s="120" t="str">
        <f t="shared" si="0"/>
        <v>Netzgebiet SW Steinfurt THE H</v>
      </c>
      <c r="D18" s="46" t="s">
        <v>248</v>
      </c>
      <c r="E18" s="139" t="s">
        <v>675</v>
      </c>
      <c r="F18" s="256" t="str">
        <f>VLOOKUP($E18,'BDEW-Standard'!$B$3:$M$94,F$9,0)</f>
        <v>BD3</v>
      </c>
      <c r="H18" s="231">
        <f>ROUND(VLOOKUP($E18,'BDEW-Standard'!$B$3:$M$94,H$9,0),7)</f>
        <v>2.9177027</v>
      </c>
      <c r="I18" s="231">
        <f>ROUND(VLOOKUP($E18,'BDEW-Standard'!$B$3:$M$94,I$9,0),7)</f>
        <v>-36.179411700000003</v>
      </c>
      <c r="J18" s="231">
        <f>ROUND(VLOOKUP($E18,'BDEW-Standard'!$B$3:$M$94,J$9,0),7)</f>
        <v>5.9265162</v>
      </c>
      <c r="K18" s="231">
        <f>ROUND(VLOOKUP($E18,'BDEW-Standard'!$B$3:$M$94,K$9,0),7)</f>
        <v>0.11519119999999999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1.0656106174494469</v>
      </c>
      <c r="R18" s="234">
        <f>ROUND(VLOOKUP(MID($E18,4,3),'Wochentag F(WT)'!$B$7:$J$22,R$9,0),4)</f>
        <v>1.1052</v>
      </c>
      <c r="S18" s="234">
        <f>ROUND(VLOOKUP(MID($E18,4,3),'Wochentag F(WT)'!$B$7:$J$22,S$9,0),4)</f>
        <v>1.0857000000000001</v>
      </c>
      <c r="T18" s="234">
        <f>ROUND(VLOOKUP(MID($E18,4,3),'Wochentag F(WT)'!$B$7:$J$22,T$9,0),4)</f>
        <v>1.0378000000000001</v>
      </c>
      <c r="U18" s="234">
        <f>ROUND(VLOOKUP(MID($E18,4,3),'Wochentag F(WT)'!$B$7:$J$22,U$9,0),4)</f>
        <v>1.0622</v>
      </c>
      <c r="V18" s="234">
        <f>ROUND(VLOOKUP(MID($E18,4,3),'Wochentag F(WT)'!$B$7:$J$22,V$9,0),4)</f>
        <v>1.0266</v>
      </c>
      <c r="W18" s="234">
        <f>ROUND(VLOOKUP(MID($E18,4,3),'Wochentag F(WT)'!$B$7:$J$22,W$9,0),4)</f>
        <v>0.76290000000000002</v>
      </c>
      <c r="X18" s="235">
        <f t="shared" si="2"/>
        <v>0.91959999999999997</v>
      </c>
      <c r="Y18" s="252"/>
      <c r="Z18" s="173"/>
    </row>
    <row r="19" spans="2:26" s="118" customFormat="1">
      <c r="B19" s="119">
        <v>8</v>
      </c>
      <c r="C19" s="120" t="str">
        <f t="shared" si="0"/>
        <v>Netzgebiet SW Steinfurt THE H</v>
      </c>
      <c r="D19" s="46" t="s">
        <v>248</v>
      </c>
      <c r="E19" s="139" t="s">
        <v>676</v>
      </c>
      <c r="F19" s="256" t="str">
        <f>VLOOKUP($E19,'BDEW-Standard'!$B$3:$M$94,F$9,0)</f>
        <v>KO3</v>
      </c>
      <c r="H19" s="231">
        <f>ROUND(VLOOKUP($E19,'BDEW-Standard'!$B$3:$M$94,H$9,0),7)</f>
        <v>2.7172288</v>
      </c>
      <c r="I19" s="231">
        <f>ROUND(VLOOKUP($E19,'BDEW-Standard'!$B$3:$M$94,I$9,0),7)</f>
        <v>-35.141256300000002</v>
      </c>
      <c r="J19" s="231">
        <f>ROUND(VLOOKUP($E19,'BDEW-Standard'!$B$3:$M$94,J$9,0),7)</f>
        <v>7.1303394999999998</v>
      </c>
      <c r="K19" s="231">
        <f>ROUND(VLOOKUP($E19,'BDEW-Standard'!$B$3:$M$94,K$9,0),7)</f>
        <v>0.14184720000000001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1.0630299199876638</v>
      </c>
      <c r="R19" s="234">
        <f>ROUND(VLOOKUP(MID($E19,4,3),'Wochentag F(WT)'!$B$7:$J$22,R$9,0),4)</f>
        <v>1.0354000000000001</v>
      </c>
      <c r="S19" s="234">
        <f>ROUND(VLOOKUP(MID($E19,4,3),'Wochentag F(WT)'!$B$7:$J$22,S$9,0),4)</f>
        <v>1.0523</v>
      </c>
      <c r="T19" s="234">
        <f>ROUND(VLOOKUP(MID($E19,4,3),'Wochentag F(WT)'!$B$7:$J$22,T$9,0),4)</f>
        <v>1.0448999999999999</v>
      </c>
      <c r="U19" s="234">
        <f>ROUND(VLOOKUP(MID($E19,4,3),'Wochentag F(WT)'!$B$7:$J$22,U$9,0),4)</f>
        <v>1.0494000000000001</v>
      </c>
      <c r="V19" s="234">
        <f>ROUND(VLOOKUP(MID($E19,4,3),'Wochentag F(WT)'!$B$7:$J$22,V$9,0),4)</f>
        <v>0.98850000000000005</v>
      </c>
      <c r="W19" s="234">
        <f>ROUND(VLOOKUP(MID($E19,4,3),'Wochentag F(WT)'!$B$7:$J$22,W$9,0),4)</f>
        <v>0.88600000000000001</v>
      </c>
      <c r="X19" s="235">
        <f t="shared" si="2"/>
        <v>0.94349999999999934</v>
      </c>
      <c r="Y19" s="252"/>
      <c r="Z19" s="173"/>
    </row>
    <row r="20" spans="2:26" s="118" customFormat="1">
      <c r="B20" s="119">
        <v>9</v>
      </c>
      <c r="C20" s="120" t="str">
        <f t="shared" si="0"/>
        <v>Netzgebiet SW Steinfurt THE H</v>
      </c>
      <c r="D20" s="46" t="s">
        <v>248</v>
      </c>
      <c r="E20" s="139" t="s">
        <v>677</v>
      </c>
      <c r="F20" s="256" t="str">
        <f>VLOOKUP($E20,'BDEW-Standard'!$B$3:$M$94,F$9,0)</f>
        <v>BH3</v>
      </c>
      <c r="H20" s="231">
        <f>ROUND(VLOOKUP($E20,'BDEW-Standard'!$B$3:$M$94,H$9,0),7)</f>
        <v>2.0102471999999998</v>
      </c>
      <c r="I20" s="231">
        <f>ROUND(VLOOKUP($E20,'BDEW-Standard'!$B$3:$M$94,I$9,0),7)</f>
        <v>-35.253212400000002</v>
      </c>
      <c r="J20" s="231">
        <f>ROUND(VLOOKUP($E20,'BDEW-Standard'!$B$3:$M$94,J$9,0),7)</f>
        <v>6.1544406</v>
      </c>
      <c r="K20" s="231">
        <f>ROUND(VLOOKUP($E20,'BDEW-Standard'!$B$3:$M$94,K$9,0),7)</f>
        <v>0.32947409999999999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1.0436896084076008</v>
      </c>
      <c r="R20" s="234">
        <f>ROUND(VLOOKUP(MID($E20,4,3),'Wochentag F(WT)'!$B$7:$J$22,R$9,0),4)</f>
        <v>0.97670000000000001</v>
      </c>
      <c r="S20" s="234">
        <f>ROUND(VLOOKUP(MID($E20,4,3),'Wochentag F(WT)'!$B$7:$J$22,S$9,0),4)</f>
        <v>1.0388999999999999</v>
      </c>
      <c r="T20" s="234">
        <f>ROUND(VLOOKUP(MID($E20,4,3),'Wochentag F(WT)'!$B$7:$J$22,T$9,0),4)</f>
        <v>1.0027999999999999</v>
      </c>
      <c r="U20" s="234">
        <f>ROUND(VLOOKUP(MID($E20,4,3),'Wochentag F(WT)'!$B$7:$J$22,U$9,0),4)</f>
        <v>1.0162</v>
      </c>
      <c r="V20" s="234">
        <f>ROUND(VLOOKUP(MID($E20,4,3),'Wochentag F(WT)'!$B$7:$J$22,V$9,0),4)</f>
        <v>1.0024</v>
      </c>
      <c r="W20" s="234">
        <f>ROUND(VLOOKUP(MID($E20,4,3),'Wochentag F(WT)'!$B$7:$J$22,W$9,0),4)</f>
        <v>1.0043</v>
      </c>
      <c r="X20" s="235">
        <f t="shared" si="2"/>
        <v>0.95870000000000122</v>
      </c>
      <c r="Y20" s="252"/>
      <c r="Z20" s="173"/>
    </row>
    <row r="21" spans="2:26" s="118" customFormat="1">
      <c r="B21" s="119">
        <v>10</v>
      </c>
      <c r="C21" s="120" t="str">
        <f t="shared" si="0"/>
        <v>Netzgebiet SW Steinfurt THE H</v>
      </c>
      <c r="D21" s="46" t="s">
        <v>248</v>
      </c>
      <c r="E21" s="139" t="s">
        <v>678</v>
      </c>
      <c r="F21" s="256" t="str">
        <f>VLOOKUP($E21,'BDEW-Standard'!$B$3:$M$94,F$9,0)</f>
        <v>GA3</v>
      </c>
      <c r="H21" s="231">
        <f>ROUND(VLOOKUP($E21,'BDEW-Standard'!$B$3:$M$94,H$9,0),7)</f>
        <v>2.2850164999999998</v>
      </c>
      <c r="I21" s="231">
        <f>ROUND(VLOOKUP($E21,'BDEW-Standard'!$B$3:$M$94,I$9,0),7)</f>
        <v>-36.287858399999998</v>
      </c>
      <c r="J21" s="231">
        <f>ROUND(VLOOKUP($E21,'BDEW-Standard'!$B$3:$M$94,J$9,0),7)</f>
        <v>6.5885125999999996</v>
      </c>
      <c r="K21" s="231">
        <f>ROUND(VLOOKUP($E21,'BDEW-Standard'!$B$3:$M$94,K$9,0),7)</f>
        <v>0.31505349999999999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1.0096183914256316</v>
      </c>
      <c r="R21" s="234">
        <f>ROUND(VLOOKUP(MID($E21,4,3),'Wochentag F(WT)'!$B$7:$J$22,R$9,0),4)</f>
        <v>0.93220000000000003</v>
      </c>
      <c r="S21" s="234">
        <f>ROUND(VLOOKUP(MID($E21,4,3),'Wochentag F(WT)'!$B$7:$J$22,S$9,0),4)</f>
        <v>0.98939999999999995</v>
      </c>
      <c r="T21" s="234">
        <f>ROUND(VLOOKUP(MID($E21,4,3),'Wochentag F(WT)'!$B$7:$J$22,T$9,0),4)</f>
        <v>1.0033000000000001</v>
      </c>
      <c r="U21" s="234">
        <f>ROUND(VLOOKUP(MID($E21,4,3),'Wochentag F(WT)'!$B$7:$J$22,U$9,0),4)</f>
        <v>1.0108999999999999</v>
      </c>
      <c r="V21" s="234">
        <f>ROUND(VLOOKUP(MID($E21,4,3),'Wochentag F(WT)'!$B$7:$J$22,V$9,0),4)</f>
        <v>1.018</v>
      </c>
      <c r="W21" s="234">
        <f>ROUND(VLOOKUP(MID($E21,4,3),'Wochentag F(WT)'!$B$7:$J$22,W$9,0),4)</f>
        <v>1.0356000000000001</v>
      </c>
      <c r="X21" s="235">
        <f t="shared" si="2"/>
        <v>1.0106000000000002</v>
      </c>
      <c r="Y21" s="252"/>
      <c r="Z21" s="173"/>
    </row>
    <row r="22" spans="2:26" s="118" customFormat="1">
      <c r="B22" s="119">
        <v>11</v>
      </c>
      <c r="C22" s="120" t="str">
        <f t="shared" si="0"/>
        <v>Netzgebiet SW Steinfurt THE H</v>
      </c>
      <c r="D22" s="46" t="s">
        <v>248</v>
      </c>
      <c r="E22" s="139" t="s">
        <v>679</v>
      </c>
      <c r="F22" s="256" t="str">
        <f>VLOOKUP($E22,'BDEW-Standard'!$B$3:$M$94,F$9,0)</f>
        <v>BA3</v>
      </c>
      <c r="H22" s="231">
        <f>ROUND(VLOOKUP($E22,'BDEW-Standard'!$B$3:$M$94,H$9,0),7)</f>
        <v>0.62619619999999998</v>
      </c>
      <c r="I22" s="231">
        <f>ROUND(VLOOKUP($E22,'BDEW-Standard'!$B$3:$M$94,I$9,0),7)</f>
        <v>-33</v>
      </c>
      <c r="J22" s="231">
        <f>ROUND(VLOOKUP($E22,'BDEW-Standard'!$B$3:$M$94,J$9,0),7)</f>
        <v>5.7212303000000002</v>
      </c>
      <c r="K22" s="231">
        <f>ROUND(VLOOKUP($E22,'BDEW-Standard'!$B$3:$M$94,K$9,0),7)</f>
        <v>0.78556550000000003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1.0711738317583412</v>
      </c>
      <c r="R22" s="234">
        <f>ROUND(VLOOKUP(MID($E22,4,3),'Wochentag F(WT)'!$B$7:$J$22,R$9,0),4)</f>
        <v>1.0848</v>
      </c>
      <c r="S22" s="234">
        <f>ROUND(VLOOKUP(MID($E22,4,3),'Wochentag F(WT)'!$B$7:$J$22,S$9,0),4)</f>
        <v>1.1211</v>
      </c>
      <c r="T22" s="234">
        <f>ROUND(VLOOKUP(MID($E22,4,3),'Wochentag F(WT)'!$B$7:$J$22,T$9,0),4)</f>
        <v>1.0769</v>
      </c>
      <c r="U22" s="234">
        <f>ROUND(VLOOKUP(MID($E22,4,3),'Wochentag F(WT)'!$B$7:$J$22,U$9,0),4)</f>
        <v>1.1353</v>
      </c>
      <c r="V22" s="234">
        <f>ROUND(VLOOKUP(MID($E22,4,3),'Wochentag F(WT)'!$B$7:$J$22,V$9,0),4)</f>
        <v>1.1402000000000001</v>
      </c>
      <c r="W22" s="234">
        <f>ROUND(VLOOKUP(MID($E22,4,3),'Wochentag F(WT)'!$B$7:$J$22,W$9,0),4)</f>
        <v>0.48520000000000002</v>
      </c>
      <c r="X22" s="235">
        <f t="shared" si="2"/>
        <v>0.95650000000000013</v>
      </c>
      <c r="Y22" s="252"/>
      <c r="Z22" s="173"/>
    </row>
    <row r="23" spans="2:26" s="118" customFormat="1">
      <c r="B23" s="119">
        <v>12</v>
      </c>
      <c r="C23" s="120" t="str">
        <f t="shared" si="0"/>
        <v>Netzgebiet SW Steinfurt THE H</v>
      </c>
      <c r="D23" s="46" t="s">
        <v>248</v>
      </c>
      <c r="E23" s="139" t="s">
        <v>680</v>
      </c>
      <c r="F23" s="256" t="str">
        <f>VLOOKUP($E23,'BDEW-Standard'!$B$3:$M$94,F$9,0)</f>
        <v>WA3</v>
      </c>
      <c r="H23" s="231">
        <f>ROUND(VLOOKUP($E23,'BDEW-Standard'!$B$3:$M$94,H$9,0),7)</f>
        <v>0.76572899999999999</v>
      </c>
      <c r="I23" s="231">
        <f>ROUND(VLOOKUP($E23,'BDEW-Standard'!$B$3:$M$94,I$9,0),7)</f>
        <v>-36.023791199999998</v>
      </c>
      <c r="J23" s="231">
        <f>ROUND(VLOOKUP($E23,'BDEW-Standard'!$B$3:$M$94,J$9,0),7)</f>
        <v>4.8662747</v>
      </c>
      <c r="K23" s="231">
        <f>ROUND(VLOOKUP($E23,'BDEW-Standard'!$B$3:$M$94,K$9,0),7)</f>
        <v>0.80494250000000001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1.0804258319686442</v>
      </c>
      <c r="R23" s="234">
        <f>ROUND(VLOOKUP(MID($E23,4,3),'Wochentag F(WT)'!$B$7:$J$22,R$9,0),4)</f>
        <v>1.2457</v>
      </c>
      <c r="S23" s="234">
        <f>ROUND(VLOOKUP(MID($E23,4,3),'Wochentag F(WT)'!$B$7:$J$22,S$9,0),4)</f>
        <v>1.2615000000000001</v>
      </c>
      <c r="T23" s="234">
        <f>ROUND(VLOOKUP(MID($E23,4,3),'Wochentag F(WT)'!$B$7:$J$22,T$9,0),4)</f>
        <v>1.2706999999999999</v>
      </c>
      <c r="U23" s="234">
        <f>ROUND(VLOOKUP(MID($E23,4,3),'Wochentag F(WT)'!$B$7:$J$22,U$9,0),4)</f>
        <v>1.2430000000000001</v>
      </c>
      <c r="V23" s="234">
        <f>ROUND(VLOOKUP(MID($E23,4,3),'Wochentag F(WT)'!$B$7:$J$22,V$9,0),4)</f>
        <v>1.1275999999999999</v>
      </c>
      <c r="W23" s="234">
        <f>ROUND(VLOOKUP(MID($E23,4,3),'Wochentag F(WT)'!$B$7:$J$22,W$9,0),4)</f>
        <v>0.38769999999999999</v>
      </c>
      <c r="X23" s="235">
        <f t="shared" si="2"/>
        <v>0.46379999999999999</v>
      </c>
      <c r="Y23" s="252"/>
      <c r="Z23" s="173"/>
    </row>
    <row r="24" spans="2:26" s="118" customFormat="1">
      <c r="B24" s="119">
        <v>13</v>
      </c>
      <c r="C24" s="120" t="str">
        <f t="shared" si="0"/>
        <v>Netzgebiet SW Steinfurt THE H</v>
      </c>
      <c r="D24" s="46" t="s">
        <v>248</v>
      </c>
      <c r="E24" s="139" t="s">
        <v>681</v>
      </c>
      <c r="F24" s="256" t="str">
        <f>VLOOKUP($E24,'BDEW-Standard'!$B$3:$M$94,F$9,0)</f>
        <v>GB3</v>
      </c>
      <c r="H24" s="231">
        <f>ROUND(VLOOKUP($E24,'BDEW-Standard'!$B$3:$M$94,H$9,0),7)</f>
        <v>3.2572741999999999</v>
      </c>
      <c r="I24" s="231">
        <f>ROUND(VLOOKUP($E24,'BDEW-Standard'!$B$3:$M$94,I$9,0),7)</f>
        <v>-37.5</v>
      </c>
      <c r="J24" s="231">
        <f>ROUND(VLOOKUP($E24,'BDEW-Standard'!$B$3:$M$94,J$9,0),7)</f>
        <v>6.3462148000000003</v>
      </c>
      <c r="K24" s="231">
        <f>ROUND(VLOOKUP($E24,'BDEW-Standard'!$B$3:$M$94,K$9,0),7)</f>
        <v>8.6622699999999997E-2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0.9584556323619029</v>
      </c>
      <c r="R24" s="234">
        <f>ROUND(VLOOKUP(MID($E24,4,3),'Wochentag F(WT)'!$B$7:$J$22,R$9,0),4)</f>
        <v>0.98970000000000002</v>
      </c>
      <c r="S24" s="234">
        <f>ROUND(VLOOKUP(MID($E24,4,3),'Wochentag F(WT)'!$B$7:$J$22,S$9,0),4)</f>
        <v>0.9627</v>
      </c>
      <c r="T24" s="234">
        <f>ROUND(VLOOKUP(MID($E24,4,3),'Wochentag F(WT)'!$B$7:$J$22,T$9,0),4)</f>
        <v>1.0507</v>
      </c>
      <c r="U24" s="234">
        <f>ROUND(VLOOKUP(MID($E24,4,3),'Wochentag F(WT)'!$B$7:$J$22,U$9,0),4)</f>
        <v>1.0551999999999999</v>
      </c>
      <c r="V24" s="234">
        <f>ROUND(VLOOKUP(MID($E24,4,3),'Wochentag F(WT)'!$B$7:$J$22,V$9,0),4)</f>
        <v>1.0297000000000001</v>
      </c>
      <c r="W24" s="234">
        <f>ROUND(VLOOKUP(MID($E24,4,3),'Wochentag F(WT)'!$B$7:$J$22,W$9,0),4)</f>
        <v>0.97670000000000001</v>
      </c>
      <c r="X24" s="235">
        <f t="shared" si="2"/>
        <v>0.9352999999999998</v>
      </c>
      <c r="Y24" s="252"/>
      <c r="Z24" s="173"/>
    </row>
    <row r="25" spans="2:26" s="118" customFormat="1">
      <c r="B25" s="119">
        <v>14</v>
      </c>
      <c r="C25" s="120" t="str">
        <f t="shared" si="0"/>
        <v>Netzgebiet SW Steinfurt THE H</v>
      </c>
      <c r="D25" s="46" t="s">
        <v>248</v>
      </c>
      <c r="E25" s="139" t="s">
        <v>682</v>
      </c>
      <c r="F25" s="256" t="str">
        <f>VLOOKUP($E25,'BDEW-Standard'!$B$3:$M$94,F$9,0)</f>
        <v>MF3</v>
      </c>
      <c r="H25" s="231">
        <f>ROUND(VLOOKUP($E25,'BDEW-Standard'!$B$3:$M$94,H$9,0),7)</f>
        <v>2.3877617999999998</v>
      </c>
      <c r="I25" s="231">
        <f>ROUND(VLOOKUP($E25,'BDEW-Standard'!$B$3:$M$94,I$9,0),7)</f>
        <v>-34.721360500000003</v>
      </c>
      <c r="J25" s="231">
        <f>ROUND(VLOOKUP($E25,'BDEW-Standard'!$B$3:$M$94,J$9,0),7)</f>
        <v>5.8164303999999998</v>
      </c>
      <c r="K25" s="231">
        <f>ROUND(VLOOKUP($E25,'BDEW-Standard'!$B$3:$M$94,K$9,0),7)</f>
        <v>0.12081939999999999</v>
      </c>
      <c r="L25" s="232">
        <f>ROUND(VLOOKUP($E25,'BDEW-Standard'!$B$3:$M$94,L$9,0),1)</f>
        <v>40</v>
      </c>
      <c r="M25" s="231">
        <f>ROUND(VLOOKUP($E25,'BDEW-Standard'!$B$3:$M$94,M$9,0),7)</f>
        <v>0</v>
      </c>
      <c r="N25" s="231">
        <f>ROUND(VLOOKUP($E25,'BDEW-Standard'!$B$3:$M$94,N$9,0),7)</f>
        <v>0</v>
      </c>
      <c r="O25" s="231">
        <f>ROUND(VLOOKUP($E25,'BDEW-Standard'!$B$3:$M$94,O$9,0),7)</f>
        <v>0</v>
      </c>
      <c r="P25" s="231">
        <f>ROUND(VLOOKUP($E25,'BDEW-Standard'!$B$3:$M$94,P$9,0),7)</f>
        <v>0</v>
      </c>
      <c r="Q25" s="233">
        <f t="shared" si="1"/>
        <v>1.0365184142102302</v>
      </c>
      <c r="R25" s="234">
        <f>ROUND(VLOOKUP(MID($E25,4,3),'Wochentag F(WT)'!$B$7:$J$22,R$9,0),4)</f>
        <v>1.0354000000000001</v>
      </c>
      <c r="S25" s="234">
        <f>ROUND(VLOOKUP(MID($E25,4,3),'Wochentag F(WT)'!$B$7:$J$22,S$9,0),4)</f>
        <v>1.0523</v>
      </c>
      <c r="T25" s="234">
        <f>ROUND(VLOOKUP(MID($E25,4,3),'Wochentag F(WT)'!$B$7:$J$22,T$9,0),4)</f>
        <v>1.0448999999999999</v>
      </c>
      <c r="U25" s="234">
        <f>ROUND(VLOOKUP(MID($E25,4,3),'Wochentag F(WT)'!$B$7:$J$22,U$9,0),4)</f>
        <v>1.0494000000000001</v>
      </c>
      <c r="V25" s="234">
        <f>ROUND(VLOOKUP(MID($E25,4,3),'Wochentag F(WT)'!$B$7:$J$22,V$9,0),4)</f>
        <v>0.98850000000000005</v>
      </c>
      <c r="W25" s="234">
        <f>ROUND(VLOOKUP(MID($E25,4,3),'Wochentag F(WT)'!$B$7:$J$22,W$9,0),4)</f>
        <v>0.88600000000000001</v>
      </c>
      <c r="X25" s="235">
        <f t="shared" si="2"/>
        <v>0.94349999999999934</v>
      </c>
      <c r="Y25" s="252"/>
      <c r="Z25" s="173"/>
    </row>
    <row r="26" spans="2:26" s="118" customFormat="1">
      <c r="B26" s="119">
        <v>15</v>
      </c>
      <c r="C26" s="120" t="str">
        <f t="shared" si="0"/>
        <v>Netzgebiet SW Steinfurt THE H</v>
      </c>
      <c r="D26" s="46" t="s">
        <v>248</v>
      </c>
      <c r="E26" s="139" t="s">
        <v>683</v>
      </c>
      <c r="F26" s="256" t="str">
        <f>VLOOKUP($E26,'BDEW-Standard'!$B$3:$M$94,F$9,0)</f>
        <v>HD3</v>
      </c>
      <c r="H26" s="231">
        <f>ROUND(VLOOKUP($E26,'BDEW-Standard'!$B$3:$M$94,H$9,0),7)</f>
        <v>2.5792510000000002</v>
      </c>
      <c r="I26" s="231">
        <f>ROUND(VLOOKUP($E26,'BDEW-Standard'!$B$3:$M$94,I$9,0),7)</f>
        <v>-35.681614400000001</v>
      </c>
      <c r="J26" s="231">
        <f>ROUND(VLOOKUP($E26,'BDEW-Standard'!$B$3:$M$94,J$9,0),7)</f>
        <v>6.6857975999999999</v>
      </c>
      <c r="K26" s="231">
        <f>ROUND(VLOOKUP($E26,'BDEW-Standard'!$B$3:$M$94,K$9,0),7)</f>
        <v>0.19955410000000001</v>
      </c>
      <c r="L26" s="232">
        <f>ROUND(VLOOKUP($E26,'BDEW-Standard'!$B$3:$M$94,L$9,0),1)</f>
        <v>40</v>
      </c>
      <c r="M26" s="231">
        <f>ROUND(VLOOKUP($E26,'BDEW-Standard'!$B$3:$M$94,M$9,0),7)</f>
        <v>0</v>
      </c>
      <c r="N26" s="231">
        <f>ROUND(VLOOKUP($E26,'BDEW-Standard'!$B$3:$M$94,N$9,0),7)</f>
        <v>0</v>
      </c>
      <c r="O26" s="231">
        <f>ROUND(VLOOKUP($E26,'BDEW-Standard'!$B$3:$M$94,O$9,0),7)</f>
        <v>0</v>
      </c>
      <c r="P26" s="231">
        <f>ROUND(VLOOKUP($E26,'BDEW-Standard'!$B$3:$M$94,P$9,0),7)</f>
        <v>0</v>
      </c>
      <c r="Q26" s="233">
        <f t="shared" si="1"/>
        <v>1.0393994293439688</v>
      </c>
      <c r="R26" s="234">
        <f>ROUND(VLOOKUP(MID($E26,4,3),'Wochentag F(WT)'!$B$7:$J$22,R$9,0),4)</f>
        <v>1.03</v>
      </c>
      <c r="S26" s="234">
        <f>ROUND(VLOOKUP(MID($E26,4,3),'Wochentag F(WT)'!$B$7:$J$22,S$9,0),4)</f>
        <v>1.03</v>
      </c>
      <c r="T26" s="234">
        <f>ROUND(VLOOKUP(MID($E26,4,3),'Wochentag F(WT)'!$B$7:$J$22,T$9,0),4)</f>
        <v>1.02</v>
      </c>
      <c r="U26" s="234">
        <f>ROUND(VLOOKUP(MID($E26,4,3),'Wochentag F(WT)'!$B$7:$J$22,U$9,0),4)</f>
        <v>1.03</v>
      </c>
      <c r="V26" s="234">
        <f>ROUND(VLOOKUP(MID($E26,4,3),'Wochentag F(WT)'!$B$7:$J$22,V$9,0),4)</f>
        <v>1.01</v>
      </c>
      <c r="W26" s="234">
        <f>ROUND(VLOOKUP(MID($E26,4,3),'Wochentag F(WT)'!$B$7:$J$22,W$9,0),4)</f>
        <v>0.93</v>
      </c>
      <c r="X26" s="235">
        <f t="shared" si="2"/>
        <v>0.95000000000000018</v>
      </c>
      <c r="Y26" s="252"/>
      <c r="Z26" s="173"/>
    </row>
    <row r="27" spans="2:26" s="118" customFormat="1">
      <c r="B27" s="119">
        <v>16</v>
      </c>
      <c r="C27" s="120" t="str">
        <f t="shared" si="0"/>
        <v>Netzgebiet SW Steinfurt THE H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Netzgebiet SW Steinfurt THE H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Netzgebiet SW Steinfurt THE H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Netzgebiet SW Steinfurt THE H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Netzgebiet SW Steinfurt THE H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Netzgebiet SW Steinfurt THE H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Netzgebiet SW Steinfurt THE H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Netzgebiet SW Steinfurt THE H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Netzgebiet SW Steinfurt THE H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Netzgebiet SW Steinfurt THE H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Netzgebiet SW Steinfurt THE H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Netzgebiet SW Steinfurt THE H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Netzgebiet SW Steinfurt THE H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Netzgebiet SW Steinfurt THE H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Netzgebiet SW Steinfurt THE H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H14:X26 F14:F26 L12:X12 L13:X1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6">
        <v>42173</v>
      </c>
      <c r="D1" s="8" t="s">
        <v>450</v>
      </c>
      <c r="F1" s="177" t="s">
        <v>544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442</v>
      </c>
    </row>
    <row r="3" spans="2:30" ht="15" customHeight="1">
      <c r="B3" s="66"/>
    </row>
    <row r="4" spans="2:30" ht="15" customHeight="1">
      <c r="B4" s="48" t="s">
        <v>441</v>
      </c>
      <c r="C4" s="44" t="str">
        <f>Netzbetreiber!$D$9</f>
        <v>Stadtwerke Steinfurt GmbH</v>
      </c>
      <c r="D4" s="58"/>
      <c r="G4" s="58"/>
      <c r="I4" s="58"/>
      <c r="J4" s="59"/>
      <c r="M4" s="67" t="s">
        <v>538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440</v>
      </c>
      <c r="C5" s="45" t="str">
        <f>Netzbetreiber!D28</f>
        <v>Netzgebiet SW Steinfurt THE H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438</v>
      </c>
      <c r="C6" s="44" t="str">
        <f>Netzbetreiber!$D$11</f>
        <v>9870037900007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45292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5" t="s">
        <v>454</v>
      </c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7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>
      <c r="B10" s="300" t="s">
        <v>582</v>
      </c>
      <c r="C10" s="301"/>
      <c r="D10" s="73">
        <v>2</v>
      </c>
      <c r="E10" s="74" t="str">
        <f>IF(ISERROR(HLOOKUP(E$11,$M$9:$AD$35,$D10,0)),"",HLOOKUP(E$11,$M$9:$AD$35,$D10,0))</f>
        <v/>
      </c>
      <c r="F10" s="298" t="s">
        <v>394</v>
      </c>
      <c r="G10" s="298"/>
      <c r="H10" s="298"/>
      <c r="I10" s="298"/>
      <c r="J10" s="298"/>
      <c r="K10" s="298"/>
      <c r="L10" s="299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395</v>
      </c>
      <c r="C12" s="89"/>
      <c r="D12" s="90">
        <v>4</v>
      </c>
      <c r="E12" s="262">
        <f>MIN(SUMPRODUCT($M$11:$AD$11,M12:AD12),1)</f>
        <v>1</v>
      </c>
      <c r="F12" s="259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396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397</v>
      </c>
      <c r="C14" s="96"/>
      <c r="D14" s="90">
        <v>6</v>
      </c>
      <c r="E14" s="263">
        <f t="shared" si="0"/>
        <v>0</v>
      </c>
      <c r="F14" s="260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399</v>
      </c>
      <c r="C15" s="96"/>
      <c r="D15" s="90">
        <v>7</v>
      </c>
      <c r="E15" s="263">
        <f t="shared" si="0"/>
        <v>0</v>
      </c>
      <c r="F15" s="260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411</v>
      </c>
      <c r="C16" s="96"/>
      <c r="D16" s="90">
        <v>8</v>
      </c>
      <c r="E16" s="263">
        <f t="shared" si="0"/>
        <v>1</v>
      </c>
      <c r="F16" s="260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412</v>
      </c>
      <c r="C17" s="96"/>
      <c r="D17" s="90">
        <v>9</v>
      </c>
      <c r="E17" s="263">
        <f t="shared" si="0"/>
        <v>1</v>
      </c>
      <c r="F17" s="260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413</v>
      </c>
      <c r="C18" s="96"/>
      <c r="D18" s="90">
        <v>10</v>
      </c>
      <c r="E18" s="263">
        <f t="shared" si="0"/>
        <v>1</v>
      </c>
      <c r="F18" s="260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650</v>
      </c>
      <c r="C19" s="96"/>
      <c r="D19" s="90"/>
      <c r="E19" s="263">
        <v>1</v>
      </c>
      <c r="F19" s="260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400</v>
      </c>
      <c r="C20" s="96"/>
      <c r="D20" s="90">
        <v>11</v>
      </c>
      <c r="E20" s="263">
        <f t="shared" si="0"/>
        <v>1</v>
      </c>
      <c r="F20" s="260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648</v>
      </c>
      <c r="C21" s="96"/>
      <c r="D21" s="90">
        <v>12</v>
      </c>
      <c r="E21" s="263">
        <f t="shared" si="0"/>
        <v>1</v>
      </c>
      <c r="F21" s="260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414</v>
      </c>
      <c r="C22" s="96"/>
      <c r="D22" s="90">
        <v>13</v>
      </c>
      <c r="E22" s="263">
        <f t="shared" si="0"/>
        <v>1</v>
      </c>
      <c r="F22" s="260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415</v>
      </c>
      <c r="C23" s="96"/>
      <c r="D23" s="90">
        <v>14</v>
      </c>
      <c r="E23" s="263">
        <f t="shared" si="0"/>
        <v>1</v>
      </c>
      <c r="F23" s="260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416</v>
      </c>
      <c r="C24" s="96"/>
      <c r="D24" s="90">
        <v>15</v>
      </c>
      <c r="E24" s="263">
        <f t="shared" si="0"/>
        <v>0</v>
      </c>
      <c r="F24" s="260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401</v>
      </c>
      <c r="C25" s="96"/>
      <c r="D25" s="90">
        <v>16</v>
      </c>
      <c r="E25" s="263">
        <f t="shared" si="0"/>
        <v>0</v>
      </c>
      <c r="F25" s="260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402</v>
      </c>
      <c r="C26" s="96"/>
      <c r="D26" s="90">
        <v>17</v>
      </c>
      <c r="E26" s="263">
        <f t="shared" si="0"/>
        <v>0</v>
      </c>
      <c r="F26" s="260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649</v>
      </c>
      <c r="C27" s="96"/>
      <c r="D27" s="90"/>
      <c r="E27" s="263">
        <v>1</v>
      </c>
      <c r="F27" s="260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403</v>
      </c>
      <c r="C28" s="96"/>
      <c r="D28" s="90">
        <v>18</v>
      </c>
      <c r="E28" s="263">
        <f t="shared" si="0"/>
        <v>1</v>
      </c>
      <c r="F28" s="260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404</v>
      </c>
      <c r="C29" s="96"/>
      <c r="D29" s="90">
        <v>19</v>
      </c>
      <c r="E29" s="263">
        <v>1</v>
      </c>
      <c r="F29" s="260" t="s">
        <v>391</v>
      </c>
      <c r="G29" s="260" t="s">
        <v>391</v>
      </c>
      <c r="H29" s="260" t="s">
        <v>391</v>
      </c>
      <c r="I29" s="260" t="s">
        <v>391</v>
      </c>
      <c r="J29" s="260" t="s">
        <v>391</v>
      </c>
      <c r="K29" s="260" t="s">
        <v>391</v>
      </c>
      <c r="L29" s="260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405</v>
      </c>
      <c r="C30" s="96"/>
      <c r="D30" s="90">
        <v>20</v>
      </c>
      <c r="E30" s="263">
        <f t="shared" si="0"/>
        <v>0</v>
      </c>
      <c r="F30" s="260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406</v>
      </c>
      <c r="C31" s="96"/>
      <c r="D31" s="90">
        <v>21</v>
      </c>
      <c r="E31" s="263">
        <f t="shared" si="0"/>
        <v>0</v>
      </c>
      <c r="F31" s="260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407</v>
      </c>
      <c r="C32" s="96"/>
      <c r="D32" s="90">
        <v>22</v>
      </c>
      <c r="E32" s="263">
        <f t="shared" si="0"/>
        <v>0</v>
      </c>
      <c r="F32" s="260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408</v>
      </c>
      <c r="C33" s="96"/>
      <c r="D33" s="90">
        <v>23</v>
      </c>
      <c r="E33" s="263">
        <f t="shared" si="0"/>
        <v>1</v>
      </c>
      <c r="F33" s="260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409</v>
      </c>
      <c r="C34" s="96"/>
      <c r="D34" s="90">
        <v>24</v>
      </c>
      <c r="E34" s="263">
        <f t="shared" si="0"/>
        <v>1</v>
      </c>
      <c r="F34" s="260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410</v>
      </c>
      <c r="C35" s="102"/>
      <c r="D35" s="103">
        <v>25</v>
      </c>
      <c r="E35" s="264">
        <f t="shared" si="0"/>
        <v>0</v>
      </c>
      <c r="F35" s="261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451</v>
      </c>
      <c r="B1"/>
      <c r="D1" s="177" t="s">
        <v>544</v>
      </c>
      <c r="O1" s="194"/>
    </row>
    <row r="2" spans="1:16">
      <c r="A2" s="194"/>
      <c r="B2" s="194" t="s">
        <v>452</v>
      </c>
    </row>
    <row r="3" spans="1:16" ht="20.100000000000001" customHeight="1">
      <c r="A3" s="302" t="s">
        <v>249</v>
      </c>
      <c r="B3" s="195" t="s">
        <v>86</v>
      </c>
      <c r="C3" s="196"/>
      <c r="D3" s="304" t="s">
        <v>453</v>
      </c>
      <c r="E3" s="305"/>
      <c r="F3" s="305"/>
      <c r="G3" s="305"/>
      <c r="H3" s="305"/>
      <c r="I3" s="305"/>
      <c r="J3" s="306"/>
      <c r="K3" s="197"/>
      <c r="L3" s="197"/>
      <c r="M3" s="197"/>
      <c r="N3" s="197"/>
      <c r="O3" s="154"/>
      <c r="P3" s="197"/>
    </row>
    <row r="4" spans="1:16" ht="20.100000000000001" customHeight="1">
      <c r="A4" s="303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364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Biernath, Karen</cp:lastModifiedBy>
  <cp:lastPrinted>2015-03-20T22:59:10Z</cp:lastPrinted>
  <dcterms:created xsi:type="dcterms:W3CDTF">2015-01-15T05:25:41Z</dcterms:created>
  <dcterms:modified xsi:type="dcterms:W3CDTF">2023-11-22T05:30:30Z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